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4530" tabRatio="760" activeTab="0"/>
  </bookViews>
  <sheets>
    <sheet name="29 11 2010 kredyt aktualny" sheetId="1" r:id="rId1"/>
  </sheets>
  <definedNames>
    <definedName name="_xlnm.Print_Area" localSheetId="0">'29 11 2010 kredyt aktualny'!$A$1:$P$48</definedName>
  </definedNames>
  <calcPr fullCalcOnLoad="1"/>
</workbook>
</file>

<file path=xl/sharedStrings.xml><?xml version="1.0" encoding="utf-8"?>
<sst xmlns="http://schemas.openxmlformats.org/spreadsheetml/2006/main" count="79" uniqueCount="57">
  <si>
    <t>lp</t>
  </si>
  <si>
    <t>Wykonanie</t>
  </si>
  <si>
    <t>Prognoza</t>
  </si>
  <si>
    <t>A</t>
  </si>
  <si>
    <t>DOCHODY OGÓŁEM, z tego:</t>
  </si>
  <si>
    <t>Dochody własne</t>
  </si>
  <si>
    <t>Dochody bieżące</t>
  </si>
  <si>
    <t>Dochody majątkowe, w tym</t>
  </si>
  <si>
    <t>- dochody ze sprzedaży majątku</t>
  </si>
  <si>
    <t>B</t>
  </si>
  <si>
    <t>WYDATKI OGÓŁEM, z tego:</t>
  </si>
  <si>
    <t>Wydatki bieżące, w tym:</t>
  </si>
  <si>
    <t>Wydatki majątkowe</t>
  </si>
  <si>
    <t>C</t>
  </si>
  <si>
    <t>WYNIK BUDŻETU</t>
  </si>
  <si>
    <t>D</t>
  </si>
  <si>
    <t>ŹRÓDŁA FINANSOWANIA DEFICYTU BUDŻETU</t>
  </si>
  <si>
    <t>Obligacje</t>
  </si>
  <si>
    <t>-</t>
  </si>
  <si>
    <t xml:space="preserve"> </t>
  </si>
  <si>
    <t>E</t>
  </si>
  <si>
    <t>Spłata rat kredytów, w tym:</t>
  </si>
  <si>
    <t>spłata wnioskowanego kredytu</t>
  </si>
  <si>
    <t>F</t>
  </si>
  <si>
    <t>ZADŁUŻENIE NA KONIEC ROKU, w tym:</t>
  </si>
  <si>
    <t>Relacja zadłużenia do dochodów</t>
  </si>
  <si>
    <t>Relacja z uwzględnieniem wyłączeń ustawowych</t>
  </si>
  <si>
    <t>G</t>
  </si>
  <si>
    <t>ŁĄCZNA KWOTA SPŁAT (spłaty rat, odsetek,poręczenia)</t>
  </si>
  <si>
    <t>Relacja łącznej kwoty spłat do dochodów</t>
  </si>
  <si>
    <t>Limit relacji wynikajacej z realizacji budżetów (art.243 ufp)</t>
  </si>
  <si>
    <t>(R+O)/D</t>
  </si>
  <si>
    <t>&lt;</t>
  </si>
  <si>
    <t>drugi człon wzoru</t>
  </si>
  <si>
    <t>Ograniczenia nie stosuje się do wykupu i spłat rat kredytów i pożyczek na finansowanie zadań finansowanych z udziałem środków, o których mowa w art.5 ust.1 pkt 2</t>
  </si>
  <si>
    <t>Razem wyłączenia art. 243, ust. 3</t>
  </si>
  <si>
    <t>Wykup papierów wartościowych</t>
  </si>
  <si>
    <t>spłata rat kredytu i pożyczek</t>
  </si>
  <si>
    <t xml:space="preserve">Potencjalna spłata kwot </t>
  </si>
  <si>
    <t>(Db+Sm-Wb)/D</t>
  </si>
  <si>
    <t>Średnio z 3 lat przed rokiem budżetowym</t>
  </si>
  <si>
    <r>
      <t xml:space="preserve">
</t>
    </r>
    <r>
      <rPr>
        <b/>
        <sz val="10"/>
        <rFont val="Arial"/>
        <family val="2"/>
      </rPr>
      <t>Wyszczególnienie</t>
    </r>
  </si>
  <si>
    <t>Informacja o sytuacji finansowej  Gminy Ziębice 2010 w okresie spłaty od 2011 do 2020 roku</t>
  </si>
  <si>
    <t>H</t>
  </si>
  <si>
    <t>Planowane wykonanie na 31.12.2010</t>
  </si>
  <si>
    <t>Subwencja ogólna</t>
  </si>
  <si>
    <t>Dotacje celowe</t>
  </si>
  <si>
    <t xml:space="preserve"> odsetki od kredytów pożyczek i obligacji</t>
  </si>
  <si>
    <t>wydatki z tytułu poręczeń</t>
  </si>
  <si>
    <t xml:space="preserve">Kredyty </t>
  </si>
  <si>
    <t>Pożyczki</t>
  </si>
  <si>
    <t>Nadwyżki z lat ubiegłych</t>
  </si>
  <si>
    <t>Wykup obligacji w tym:</t>
  </si>
  <si>
    <t>przedmiotowej emisji</t>
  </si>
  <si>
    <t>Spłata rat pożyczek, w tym</t>
  </si>
  <si>
    <t>spłata wnioskowanej pożyczki</t>
  </si>
  <si>
    <t>SPŁATY KREDYTÓW I POŻYCZEK, WYKUP OBLIGACJI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</si>
</sst>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00"/>
    <numFmt numFmtId="166" formatCode="#,##0\ &quot;zł&quot;"/>
    <numFmt numFmtId="167" formatCode="0.000%"/>
    <numFmt numFmtId="168" formatCode="0.000000000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000%"/>
  </numFmts>
  <fonts count="51">
    <font>
      <sz val="10"/>
      <name val="Arial"/>
      <family val="2"/>
    </font>
    <font>
      <sz val="10"/>
      <name val="Arial CE"/>
      <family val="2"/>
    </font>
    <font>
      <sz val="11"/>
      <name val="Arial"/>
      <family val="2"/>
    </font>
    <font>
      <b/>
      <sz val="10"/>
      <name val="Arial Unicode MS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medium"/>
      <bottom style="medium"/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medium"/>
      <bottom style="thin"/>
    </border>
    <border>
      <left style="hair">
        <color indexed="8"/>
      </left>
      <right>
        <color indexed="63"/>
      </right>
      <top style="medium"/>
      <bottom style="thin"/>
    </border>
    <border>
      <left style="hair">
        <color indexed="8"/>
      </left>
      <right style="hair">
        <color indexed="8"/>
      </right>
      <top style="medium"/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hair">
        <color indexed="8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9" fontId="1" fillId="0" borderId="0">
      <alignment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4" fillId="0" borderId="11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11" xfId="0" applyNumberFormat="1" applyFont="1" applyBorder="1" applyAlignment="1">
      <alignment horizontal="right"/>
    </xf>
    <xf numFmtId="164" fontId="7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0" fillId="0" borderId="11" xfId="0" applyNumberFormat="1" applyBorder="1" applyAlignment="1">
      <alignment/>
    </xf>
    <xf numFmtId="3" fontId="2" fillId="13" borderId="0" xfId="0" applyNumberFormat="1" applyFont="1" applyFill="1" applyAlignment="1">
      <alignment/>
    </xf>
    <xf numFmtId="3" fontId="4" fillId="13" borderId="0" xfId="0" applyNumberFormat="1" applyFont="1" applyFill="1" applyAlignment="1">
      <alignment/>
    </xf>
    <xf numFmtId="4" fontId="2" fillId="13" borderId="0" xfId="0" applyNumberFormat="1" applyFont="1" applyFill="1" applyAlignment="1">
      <alignment horizontal="center"/>
    </xf>
    <xf numFmtId="3" fontId="2" fillId="13" borderId="0" xfId="0" applyNumberFormat="1" applyFont="1" applyFill="1" applyAlignment="1">
      <alignment horizontal="center"/>
    </xf>
    <xf numFmtId="165" fontId="2" fillId="13" borderId="0" xfId="0" applyNumberFormat="1" applyFont="1" applyFill="1" applyAlignment="1">
      <alignment/>
    </xf>
    <xf numFmtId="3" fontId="2" fillId="13" borderId="12" xfId="0" applyNumberFormat="1" applyFont="1" applyFill="1" applyBorder="1" applyAlignment="1">
      <alignment/>
    </xf>
    <xf numFmtId="3" fontId="2" fillId="13" borderId="12" xfId="0" applyNumberFormat="1" applyFont="1" applyFill="1" applyBorder="1" applyAlignment="1">
      <alignment horizontal="center"/>
    </xf>
    <xf numFmtId="3" fontId="4" fillId="13" borderId="12" xfId="0" applyNumberFormat="1" applyFont="1" applyFill="1" applyBorder="1" applyAlignment="1">
      <alignment/>
    </xf>
    <xf numFmtId="3" fontId="47" fillId="13" borderId="12" xfId="0" applyNumberFormat="1" applyFont="1" applyFill="1" applyBorder="1" applyAlignment="1">
      <alignment/>
    </xf>
    <xf numFmtId="3" fontId="48" fillId="13" borderId="12" xfId="0" applyNumberFormat="1" applyFont="1" applyFill="1" applyBorder="1" applyAlignment="1">
      <alignment/>
    </xf>
    <xf numFmtId="4" fontId="48" fillId="13" borderId="12" xfId="0" applyNumberFormat="1" applyFont="1" applyFill="1" applyBorder="1" applyAlignment="1">
      <alignment horizontal="center"/>
    </xf>
    <xf numFmtId="4" fontId="48" fillId="13" borderId="12" xfId="0" applyNumberFormat="1" applyFont="1" applyFill="1" applyBorder="1" applyAlignment="1">
      <alignment/>
    </xf>
    <xf numFmtId="3" fontId="48" fillId="13" borderId="12" xfId="0" applyNumberFormat="1" applyFont="1" applyFill="1" applyBorder="1" applyAlignment="1">
      <alignment horizontal="center"/>
    </xf>
    <xf numFmtId="3" fontId="49" fillId="13" borderId="12" xfId="0" applyNumberFormat="1" applyFont="1" applyFill="1" applyBorder="1" applyAlignment="1">
      <alignment/>
    </xf>
    <xf numFmtId="3" fontId="50" fillId="13" borderId="12" xfId="0" applyNumberFormat="1" applyFont="1" applyFill="1" applyBorder="1" applyAlignment="1">
      <alignment/>
    </xf>
    <xf numFmtId="165" fontId="48" fillId="13" borderId="12" xfId="0" applyNumberFormat="1" applyFont="1" applyFill="1" applyBorder="1" applyAlignment="1">
      <alignment/>
    </xf>
    <xf numFmtId="3" fontId="48" fillId="0" borderId="11" xfId="0" applyNumberFormat="1" applyFont="1" applyBorder="1" applyAlignment="1">
      <alignment horizontal="right"/>
    </xf>
    <xf numFmtId="3" fontId="47" fillId="13" borderId="12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0" fillId="0" borderId="11" xfId="0" applyNumberFormat="1" applyFill="1" applyBorder="1" applyAlignment="1">
      <alignment/>
    </xf>
    <xf numFmtId="3" fontId="3" fillId="4" borderId="11" xfId="0" applyNumberFormat="1" applyFont="1" applyFill="1" applyBorder="1" applyAlignment="1">
      <alignment horizontal="center" vertical="center" wrapText="1"/>
    </xf>
    <xf numFmtId="3" fontId="8" fillId="4" borderId="10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3" fontId="4" fillId="0" borderId="15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3" fontId="5" fillId="4" borderId="18" xfId="0" applyNumberFormat="1" applyFont="1" applyFill="1" applyBorder="1" applyAlignment="1">
      <alignment/>
    </xf>
    <xf numFmtId="3" fontId="4" fillId="4" borderId="18" xfId="0" applyNumberFormat="1" applyFont="1" applyFill="1" applyBorder="1" applyAlignment="1">
      <alignment horizontal="right"/>
    </xf>
    <xf numFmtId="3" fontId="4" fillId="4" borderId="19" xfId="0" applyNumberFormat="1" applyFont="1" applyFill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/>
    </xf>
    <xf numFmtId="3" fontId="2" fillId="0" borderId="16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4" fillId="4" borderId="20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0" fillId="0" borderId="13" xfId="0" applyNumberFormat="1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3" fontId="0" fillId="0" borderId="16" xfId="0" applyNumberFormat="1" applyBorder="1" applyAlignment="1">
      <alignment/>
    </xf>
    <xf numFmtId="3" fontId="4" fillId="0" borderId="15" xfId="0" applyNumberFormat="1" applyFont="1" applyBorder="1" applyAlignment="1">
      <alignment/>
    </xf>
    <xf numFmtId="3" fontId="7" fillId="0" borderId="13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/>
    </xf>
    <xf numFmtId="10" fontId="48" fillId="0" borderId="17" xfId="0" applyNumberFormat="1" applyFont="1" applyBorder="1" applyAlignment="1">
      <alignment/>
    </xf>
    <xf numFmtId="3" fontId="4" fillId="4" borderId="18" xfId="0" applyNumberFormat="1" applyFont="1" applyFill="1" applyBorder="1" applyAlignment="1">
      <alignment/>
    </xf>
    <xf numFmtId="3" fontId="4" fillId="4" borderId="20" xfId="0" applyNumberFormat="1" applyFont="1" applyFill="1" applyBorder="1" applyAlignment="1">
      <alignment/>
    </xf>
    <xf numFmtId="3" fontId="4" fillId="4" borderId="19" xfId="0" applyNumberFormat="1" applyFont="1" applyFill="1" applyBorder="1" applyAlignment="1">
      <alignment/>
    </xf>
    <xf numFmtId="10" fontId="48" fillId="0" borderId="14" xfId="0" applyNumberFormat="1" applyFont="1" applyBorder="1" applyAlignment="1">
      <alignment/>
    </xf>
    <xf numFmtId="164" fontId="2" fillId="0" borderId="16" xfId="0" applyNumberFormat="1" applyFont="1" applyBorder="1" applyAlignment="1">
      <alignment horizontal="right"/>
    </xf>
    <xf numFmtId="10" fontId="48" fillId="0" borderId="16" xfId="0" applyNumberFormat="1" applyFont="1" applyBorder="1" applyAlignment="1">
      <alignment horizontal="right"/>
    </xf>
    <xf numFmtId="3" fontId="2" fillId="13" borderId="21" xfId="0" applyNumberFormat="1" applyFont="1" applyFill="1" applyBorder="1" applyAlignment="1">
      <alignment/>
    </xf>
    <xf numFmtId="3" fontId="47" fillId="13" borderId="21" xfId="0" applyNumberFormat="1" applyFont="1" applyFill="1" applyBorder="1" applyAlignment="1">
      <alignment/>
    </xf>
    <xf numFmtId="3" fontId="48" fillId="13" borderId="21" xfId="0" applyNumberFormat="1" applyFont="1" applyFill="1" applyBorder="1" applyAlignment="1">
      <alignment/>
    </xf>
    <xf numFmtId="4" fontId="48" fillId="13" borderId="21" xfId="0" applyNumberFormat="1" applyFont="1" applyFill="1" applyBorder="1" applyAlignment="1">
      <alignment horizontal="center"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4" fillId="4" borderId="25" xfId="0" applyNumberFormat="1" applyFont="1" applyFill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3" fontId="2" fillId="4" borderId="28" xfId="0" applyNumberFormat="1" applyFont="1" applyFill="1" applyBorder="1" applyAlignment="1">
      <alignment/>
    </xf>
    <xf numFmtId="3" fontId="4" fillId="0" borderId="27" xfId="0" applyNumberFormat="1" applyFont="1" applyBorder="1" applyAlignment="1">
      <alignment horizontal="right"/>
    </xf>
    <xf numFmtId="3" fontId="2" fillId="0" borderId="29" xfId="0" applyNumberFormat="1" applyFont="1" applyBorder="1" applyAlignment="1">
      <alignment/>
    </xf>
    <xf numFmtId="3" fontId="2" fillId="0" borderId="27" xfId="0" applyNumberFormat="1" applyFont="1" applyBorder="1" applyAlignment="1">
      <alignment horizontal="right"/>
    </xf>
    <xf numFmtId="3" fontId="2" fillId="0" borderId="25" xfId="0" applyNumberFormat="1" applyFont="1" applyBorder="1" applyAlignment="1">
      <alignment/>
    </xf>
    <xf numFmtId="3" fontId="4" fillId="0" borderId="25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 horizontal="right"/>
    </xf>
    <xf numFmtId="3" fontId="2" fillId="0" borderId="25" xfId="0" applyNumberFormat="1" applyFon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3" fontId="2" fillId="0" borderId="26" xfId="0" applyNumberFormat="1" applyFont="1" applyBorder="1" applyAlignment="1">
      <alignment/>
    </xf>
    <xf numFmtId="3" fontId="4" fillId="4" borderId="28" xfId="0" applyNumberFormat="1" applyFont="1" applyFill="1" applyBorder="1" applyAlignment="1">
      <alignment/>
    </xf>
    <xf numFmtId="3" fontId="4" fillId="0" borderId="27" xfId="0" applyNumberFormat="1" applyFont="1" applyBorder="1" applyAlignment="1">
      <alignment/>
    </xf>
    <xf numFmtId="164" fontId="2" fillId="0" borderId="27" xfId="0" applyNumberFormat="1" applyFont="1" applyBorder="1" applyAlignment="1">
      <alignment/>
    </xf>
    <xf numFmtId="164" fontId="7" fillId="0" borderId="27" xfId="0" applyNumberFormat="1" applyFont="1" applyBorder="1" applyAlignment="1">
      <alignment/>
    </xf>
    <xf numFmtId="164" fontId="2" fillId="0" borderId="27" xfId="0" applyNumberFormat="1" applyFont="1" applyBorder="1" applyAlignment="1">
      <alignment horizontal="right"/>
    </xf>
    <xf numFmtId="3" fontId="4" fillId="4" borderId="30" xfId="0" applyNumberFormat="1" applyFont="1" applyFill="1" applyBorder="1" applyAlignment="1">
      <alignment/>
    </xf>
    <xf numFmtId="3" fontId="5" fillId="4" borderId="31" xfId="0" applyNumberFormat="1" applyFont="1" applyFill="1" applyBorder="1" applyAlignment="1">
      <alignment/>
    </xf>
    <xf numFmtId="164" fontId="6" fillId="4" borderId="32" xfId="0" applyNumberFormat="1" applyFont="1" applyFill="1" applyBorder="1" applyAlignment="1">
      <alignment/>
    </xf>
    <xf numFmtId="0" fontId="4" fillId="0" borderId="33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0" fontId="4" fillId="0" borderId="35" xfId="0" applyNumberFormat="1" applyFont="1" applyBorder="1" applyAlignment="1">
      <alignment horizontal="center"/>
    </xf>
    <xf numFmtId="174" fontId="0" fillId="4" borderId="32" xfId="54" applyNumberFormat="1" applyFont="1" applyFill="1" applyBorder="1" applyAlignment="1">
      <alignment horizontal="right"/>
    </xf>
    <xf numFmtId="174" fontId="0" fillId="4" borderId="36" xfId="54" applyNumberFormat="1" applyFont="1" applyFill="1" applyBorder="1" applyAlignment="1">
      <alignment horizontal="right"/>
    </xf>
    <xf numFmtId="174" fontId="48" fillId="4" borderId="32" xfId="0" applyNumberFormat="1" applyFont="1" applyFill="1" applyBorder="1" applyAlignment="1">
      <alignment horizontal="right"/>
    </xf>
    <xf numFmtId="3" fontId="4" fillId="0" borderId="37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3" fontId="4" fillId="4" borderId="11" xfId="0" applyNumberFormat="1" applyFont="1" applyFill="1" applyBorder="1" applyAlignment="1">
      <alignment horizontal="center" vertical="center"/>
    </xf>
    <xf numFmtId="3" fontId="4" fillId="4" borderId="40" xfId="0" applyNumberFormat="1" applyFont="1" applyFill="1" applyBorder="1" applyAlignment="1">
      <alignment horizontal="center" vertical="center"/>
    </xf>
    <xf numFmtId="3" fontId="4" fillId="4" borderId="10" xfId="0" applyNumberFormat="1" applyFont="1" applyFill="1" applyBorder="1" applyAlignment="1">
      <alignment horizontal="center" vertical="center"/>
    </xf>
    <xf numFmtId="3" fontId="4" fillId="4" borderId="27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Percent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view="pageBreakPreview" zoomScale="80" zoomScaleSheetLayoutView="80" zoomScalePageLayoutView="0" workbookViewId="0" topLeftCell="A1">
      <pane xSplit="2" ySplit="5" topLeftCell="D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7" sqref="A17"/>
    </sheetView>
  </sheetViews>
  <sheetFormatPr defaultColWidth="11.57421875" defaultRowHeight="12.75"/>
  <cols>
    <col min="1" max="1" width="3.28125" style="1" customWidth="1"/>
    <col min="2" max="2" width="49.7109375" style="2" customWidth="1"/>
    <col min="3" max="3" width="14.57421875" style="13" hidden="1" customWidth="1"/>
    <col min="4" max="4" width="15.00390625" style="13" bestFit="1" customWidth="1"/>
    <col min="5" max="5" width="12.57421875" style="13" bestFit="1" customWidth="1"/>
    <col min="6" max="6" width="12.57421875" style="1" customWidth="1"/>
    <col min="7" max="8" width="14.8515625" style="1" bestFit="1" customWidth="1"/>
    <col min="9" max="16" width="14.8515625" style="1" customWidth="1"/>
    <col min="17" max="21" width="14.8515625" style="1" hidden="1" customWidth="1"/>
    <col min="22" max="16384" width="11.57421875" style="1" customWidth="1"/>
  </cols>
  <sheetData>
    <row r="1" spans="1:21" ht="14.25">
      <c r="A1" s="123" t="s">
        <v>42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88"/>
      <c r="R1" s="88"/>
      <c r="S1" s="88"/>
      <c r="T1" s="88"/>
      <c r="U1" s="89"/>
    </row>
    <row r="2" spans="1:21" ht="14.25">
      <c r="A2" s="125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90"/>
      <c r="R2" s="90"/>
      <c r="S2" s="90"/>
      <c r="T2" s="90"/>
      <c r="U2" s="91"/>
    </row>
    <row r="3" spans="1:21" s="3" customFormat="1" ht="39" customHeight="1">
      <c r="A3" s="92" t="s">
        <v>0</v>
      </c>
      <c r="B3" s="46" t="s">
        <v>41</v>
      </c>
      <c r="C3" s="127" t="s">
        <v>1</v>
      </c>
      <c r="D3" s="127"/>
      <c r="E3" s="128"/>
      <c r="F3" s="47" t="s">
        <v>44</v>
      </c>
      <c r="G3" s="129" t="s">
        <v>2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30"/>
    </row>
    <row r="4" spans="1:21" s="5" customFormat="1" ht="15.75" thickBot="1">
      <c r="A4" s="93"/>
      <c r="B4" s="60"/>
      <c r="C4" s="61">
        <v>2007</v>
      </c>
      <c r="D4" s="61">
        <v>2008</v>
      </c>
      <c r="E4" s="61">
        <v>2009</v>
      </c>
      <c r="F4" s="61">
        <v>2010</v>
      </c>
      <c r="G4" s="61">
        <v>2011</v>
      </c>
      <c r="H4" s="61">
        <v>2012</v>
      </c>
      <c r="I4" s="62">
        <v>2013</v>
      </c>
      <c r="J4" s="61">
        <v>2014</v>
      </c>
      <c r="K4" s="62">
        <v>2015</v>
      </c>
      <c r="L4" s="61">
        <v>2016</v>
      </c>
      <c r="M4" s="61">
        <v>2017</v>
      </c>
      <c r="N4" s="61">
        <v>2018</v>
      </c>
      <c r="O4" s="62">
        <v>2019</v>
      </c>
      <c r="P4" s="62">
        <v>2020</v>
      </c>
      <c r="Q4" s="4">
        <v>2021</v>
      </c>
      <c r="R4" s="4">
        <v>2022</v>
      </c>
      <c r="S4" s="4">
        <v>2023</v>
      </c>
      <c r="T4" s="4">
        <v>2024</v>
      </c>
      <c r="U4" s="94">
        <v>2025</v>
      </c>
    </row>
    <row r="5" spans="1:21" ht="19.5" customHeight="1" thickBot="1">
      <c r="A5" s="95" t="s">
        <v>3</v>
      </c>
      <c r="B5" s="56" t="s">
        <v>4</v>
      </c>
      <c r="C5" s="57">
        <f>SUM(C6:C8)</f>
        <v>33276222</v>
      </c>
      <c r="D5" s="57">
        <f>SUM(D6:D8)</f>
        <v>37920441.75</v>
      </c>
      <c r="E5" s="57">
        <f>SUM(E6:E8)</f>
        <v>37551083</v>
      </c>
      <c r="F5" s="57">
        <f>SUM(F6:F8)</f>
        <v>43810599</v>
      </c>
      <c r="G5" s="57">
        <v>46211465</v>
      </c>
      <c r="H5" s="57">
        <v>49981691</v>
      </c>
      <c r="I5" s="66">
        <v>41503357</v>
      </c>
      <c r="J5" s="57">
        <v>40671658</v>
      </c>
      <c r="K5" s="57">
        <v>40731753</v>
      </c>
      <c r="L5" s="57">
        <v>40919458</v>
      </c>
      <c r="M5" s="57">
        <v>40302445</v>
      </c>
      <c r="N5" s="57">
        <v>40689299</v>
      </c>
      <c r="O5" s="57">
        <v>40580061</v>
      </c>
      <c r="P5" s="58">
        <v>40874770</v>
      </c>
      <c r="Q5" s="59">
        <f>SUM(Q6:Q8)</f>
        <v>53350000</v>
      </c>
      <c r="R5" s="6">
        <f>SUM(R6:R8)</f>
        <v>53352000</v>
      </c>
      <c r="S5" s="6">
        <f>SUM(S6:S8)</f>
        <v>53452000</v>
      </c>
      <c r="T5" s="6">
        <f>SUM(T6:T8)</f>
        <v>53552000</v>
      </c>
      <c r="U5" s="96">
        <f>SUM(U6:U8)</f>
        <v>53700000</v>
      </c>
    </row>
    <row r="6" spans="1:21" ht="19.5" customHeight="1">
      <c r="A6" s="97">
        <v>1</v>
      </c>
      <c r="B6" s="63" t="s">
        <v>5</v>
      </c>
      <c r="C6" s="64">
        <v>14589348</v>
      </c>
      <c r="D6" s="64">
        <v>16143433.9</v>
      </c>
      <c r="E6" s="64">
        <v>15116601</v>
      </c>
      <c r="F6" s="54">
        <f>16371074</f>
        <v>16371074</v>
      </c>
      <c r="G6" s="64">
        <v>13559699</v>
      </c>
      <c r="H6" s="64">
        <v>15200000</v>
      </c>
      <c r="I6" s="65">
        <v>15800000</v>
      </c>
      <c r="J6" s="64">
        <v>15600000</v>
      </c>
      <c r="K6" s="64">
        <v>15500000</v>
      </c>
      <c r="L6" s="64">
        <v>15800000</v>
      </c>
      <c r="M6" s="64">
        <v>15500000</v>
      </c>
      <c r="N6" s="64">
        <v>15700000</v>
      </c>
      <c r="O6" s="64">
        <v>15750000</v>
      </c>
      <c r="P6" s="64">
        <v>15758000</v>
      </c>
      <c r="Q6" s="7">
        <v>34750000</v>
      </c>
      <c r="R6" s="7">
        <v>35002000</v>
      </c>
      <c r="S6" s="7">
        <v>35202000</v>
      </c>
      <c r="T6" s="7">
        <v>35502000</v>
      </c>
      <c r="U6" s="98">
        <v>35550000</v>
      </c>
    </row>
    <row r="7" spans="1:21" ht="19.5" customHeight="1">
      <c r="A7" s="99">
        <v>2</v>
      </c>
      <c r="B7" s="20" t="s">
        <v>45</v>
      </c>
      <c r="C7" s="7">
        <v>10558801</v>
      </c>
      <c r="D7" s="7">
        <v>12167406</v>
      </c>
      <c r="E7" s="7">
        <v>13833869</v>
      </c>
      <c r="F7" s="19">
        <v>14842547</v>
      </c>
      <c r="G7" s="7">
        <v>14719126</v>
      </c>
      <c r="H7" s="7">
        <v>14800000</v>
      </c>
      <c r="I7" s="16">
        <v>14830000</v>
      </c>
      <c r="J7" s="7">
        <v>14850000</v>
      </c>
      <c r="K7" s="7">
        <v>14900000</v>
      </c>
      <c r="L7" s="7">
        <v>14920000</v>
      </c>
      <c r="M7" s="7">
        <v>14940000</v>
      </c>
      <c r="N7" s="7">
        <v>15000000</v>
      </c>
      <c r="O7" s="7">
        <v>15000500</v>
      </c>
      <c r="P7" s="7">
        <v>15000700</v>
      </c>
      <c r="Q7" s="7">
        <v>10500000</v>
      </c>
      <c r="R7" s="7">
        <v>10450000</v>
      </c>
      <c r="S7" s="7">
        <v>10400000</v>
      </c>
      <c r="T7" s="7">
        <v>10350000</v>
      </c>
      <c r="U7" s="98">
        <v>10350000</v>
      </c>
    </row>
    <row r="8" spans="1:21" ht="19.5" customHeight="1">
      <c r="A8" s="99">
        <v>3</v>
      </c>
      <c r="B8" s="20" t="s">
        <v>46</v>
      </c>
      <c r="C8" s="7">
        <v>8128073</v>
      </c>
      <c r="D8" s="7">
        <v>9609601.85</v>
      </c>
      <c r="E8" s="7">
        <v>8600613</v>
      </c>
      <c r="F8" s="19">
        <v>12596978</v>
      </c>
      <c r="G8" s="7">
        <f>G5-G6-G7</f>
        <v>17932640</v>
      </c>
      <c r="H8" s="7">
        <f>H5-H6-H7</f>
        <v>19981691</v>
      </c>
      <c r="I8" s="7">
        <f aca="true" t="shared" si="0" ref="I8:P8">I5-I6-I7</f>
        <v>10873357</v>
      </c>
      <c r="J8" s="7">
        <f t="shared" si="0"/>
        <v>10221658</v>
      </c>
      <c r="K8" s="7">
        <f t="shared" si="0"/>
        <v>10331753</v>
      </c>
      <c r="L8" s="7">
        <f t="shared" si="0"/>
        <v>10199458</v>
      </c>
      <c r="M8" s="7">
        <f t="shared" si="0"/>
        <v>9862445</v>
      </c>
      <c r="N8" s="7">
        <f t="shared" si="0"/>
        <v>9989299</v>
      </c>
      <c r="O8" s="7">
        <f t="shared" si="0"/>
        <v>9829561</v>
      </c>
      <c r="P8" s="7">
        <f t="shared" si="0"/>
        <v>10116070</v>
      </c>
      <c r="Q8" s="7">
        <v>8100000</v>
      </c>
      <c r="R8" s="7">
        <v>7900000</v>
      </c>
      <c r="S8" s="7">
        <v>7850000</v>
      </c>
      <c r="T8" s="7">
        <v>7700000</v>
      </c>
      <c r="U8" s="98">
        <v>7800000</v>
      </c>
    </row>
    <row r="9" spans="1:21" s="40" customFormat="1" ht="19.5" customHeight="1">
      <c r="A9" s="100"/>
      <c r="B9" s="39" t="s">
        <v>6</v>
      </c>
      <c r="C9" s="18">
        <v>32095090</v>
      </c>
      <c r="D9" s="18">
        <v>33751842</v>
      </c>
      <c r="E9" s="18">
        <v>35299108</v>
      </c>
      <c r="F9" s="18">
        <v>36780267</v>
      </c>
      <c r="G9" s="18">
        <v>35339965</v>
      </c>
      <c r="H9" s="18">
        <v>37570000</v>
      </c>
      <c r="I9" s="18">
        <v>37496320</v>
      </c>
      <c r="J9" s="18">
        <v>37871658</v>
      </c>
      <c r="K9" s="18">
        <v>38731753</v>
      </c>
      <c r="L9" s="18">
        <v>37919458</v>
      </c>
      <c r="M9" s="18">
        <v>38302445</v>
      </c>
      <c r="N9" s="18">
        <v>38689299</v>
      </c>
      <c r="O9" s="18">
        <v>39080061</v>
      </c>
      <c r="P9" s="18">
        <v>39474770</v>
      </c>
      <c r="Q9" s="18">
        <f>Q5-Q10</f>
        <v>52150000</v>
      </c>
      <c r="R9" s="18">
        <f>R5-R10</f>
        <v>52152000</v>
      </c>
      <c r="S9" s="18">
        <f>S5-S10</f>
        <v>52252000</v>
      </c>
      <c r="T9" s="18">
        <f>T5-T10</f>
        <v>52352000</v>
      </c>
      <c r="U9" s="101">
        <f>U5-U10</f>
        <v>52500000</v>
      </c>
    </row>
    <row r="10" spans="1:21" s="40" customFormat="1" ht="19.5" customHeight="1">
      <c r="A10" s="100"/>
      <c r="B10" s="39" t="s">
        <v>7</v>
      </c>
      <c r="C10" s="18">
        <f>C5-C9</f>
        <v>1181132</v>
      </c>
      <c r="D10" s="18">
        <v>4168600.35</v>
      </c>
      <c r="E10" s="18">
        <v>2251974.5</v>
      </c>
      <c r="F10" s="18">
        <v>7030332</v>
      </c>
      <c r="G10" s="18">
        <v>10871500</v>
      </c>
      <c r="H10" s="18">
        <v>12411691</v>
      </c>
      <c r="I10" s="18">
        <v>4007037</v>
      </c>
      <c r="J10" s="18">
        <v>2800000</v>
      </c>
      <c r="K10" s="18">
        <v>2000000</v>
      </c>
      <c r="L10" s="18">
        <v>3000000</v>
      </c>
      <c r="M10" s="18">
        <v>2000000</v>
      </c>
      <c r="N10" s="18">
        <v>2000000</v>
      </c>
      <c r="O10" s="18">
        <v>1500000</v>
      </c>
      <c r="P10" s="18">
        <v>1400000</v>
      </c>
      <c r="Q10" s="18">
        <f>Q11+200000</f>
        <v>1200000</v>
      </c>
      <c r="R10" s="18">
        <f>R11+200000</f>
        <v>1200000</v>
      </c>
      <c r="S10" s="18">
        <f>S11+200000</f>
        <v>1200000</v>
      </c>
      <c r="T10" s="18">
        <f>T11+200000</f>
        <v>1200000</v>
      </c>
      <c r="U10" s="101">
        <f>U11+200000</f>
        <v>1200000</v>
      </c>
    </row>
    <row r="11" spans="1:21" s="42" customFormat="1" ht="19.5" customHeight="1" thickBot="1">
      <c r="A11" s="102"/>
      <c r="B11" s="51" t="s">
        <v>8</v>
      </c>
      <c r="C11" s="52">
        <v>1176835</v>
      </c>
      <c r="D11" s="52">
        <v>2363877.3</v>
      </c>
      <c r="E11" s="52">
        <v>2047223.1</v>
      </c>
      <c r="F11" s="52">
        <v>2716577</v>
      </c>
      <c r="G11" s="52">
        <v>1940000</v>
      </c>
      <c r="H11" s="52">
        <v>2050000</v>
      </c>
      <c r="I11" s="52">
        <v>1900000</v>
      </c>
      <c r="J11" s="52">
        <v>1600000</v>
      </c>
      <c r="K11" s="52">
        <v>1570000</v>
      </c>
      <c r="L11" s="52">
        <v>2050000</v>
      </c>
      <c r="M11" s="52">
        <v>1600000</v>
      </c>
      <c r="N11" s="52">
        <v>1100000</v>
      </c>
      <c r="O11" s="52">
        <v>1200000</v>
      </c>
      <c r="P11" s="52">
        <v>1150000</v>
      </c>
      <c r="Q11" s="41">
        <v>1000000</v>
      </c>
      <c r="R11" s="41">
        <v>1000000</v>
      </c>
      <c r="S11" s="41">
        <v>1000000</v>
      </c>
      <c r="T11" s="41">
        <v>1000000</v>
      </c>
      <c r="U11" s="103">
        <v>1000000</v>
      </c>
    </row>
    <row r="12" spans="1:21" s="43" customFormat="1" ht="19.5" customHeight="1" thickBot="1">
      <c r="A12" s="95" t="s">
        <v>9</v>
      </c>
      <c r="B12" s="56" t="s">
        <v>10</v>
      </c>
      <c r="C12" s="57">
        <f>C13+C16</f>
        <v>33166573.220000003</v>
      </c>
      <c r="D12" s="57">
        <f>D13+D16</f>
        <v>36682446</v>
      </c>
      <c r="E12" s="57">
        <f aca="true" t="shared" si="1" ref="E12:O12">E13+E16</f>
        <v>38702086.22</v>
      </c>
      <c r="F12" s="57">
        <f t="shared" si="1"/>
        <v>48567570</v>
      </c>
      <c r="G12" s="57">
        <f t="shared" si="1"/>
        <v>55231185</v>
      </c>
      <c r="H12" s="57">
        <f t="shared" si="1"/>
        <v>50062794</v>
      </c>
      <c r="I12" s="57">
        <f t="shared" si="1"/>
        <v>39859421</v>
      </c>
      <c r="J12" s="57">
        <f t="shared" si="1"/>
        <v>39071221</v>
      </c>
      <c r="K12" s="57">
        <f t="shared" si="1"/>
        <v>39101317</v>
      </c>
      <c r="L12" s="57">
        <f t="shared" si="1"/>
        <v>39260516</v>
      </c>
      <c r="M12" s="57">
        <f t="shared" si="1"/>
        <v>38684269</v>
      </c>
      <c r="N12" s="57">
        <f>N13+N16</f>
        <v>39328844</v>
      </c>
      <c r="O12" s="57">
        <f t="shared" si="1"/>
        <v>39147774</v>
      </c>
      <c r="P12" s="58">
        <f>P13+P16+1</f>
        <v>39359386</v>
      </c>
      <c r="Q12" s="50">
        <f>Q13+Q16</f>
        <v>52798000</v>
      </c>
      <c r="R12" s="17">
        <f>R13+R16</f>
        <v>52800000</v>
      </c>
      <c r="S12" s="17">
        <f>S13+S16</f>
        <v>52900000</v>
      </c>
      <c r="T12" s="17">
        <f>T13+T16</f>
        <v>53000000</v>
      </c>
      <c r="U12" s="101">
        <f>U13+U16</f>
        <v>53424000</v>
      </c>
    </row>
    <row r="13" spans="1:21" s="43" customFormat="1" ht="19.5" customHeight="1">
      <c r="A13" s="104">
        <v>1</v>
      </c>
      <c r="B13" s="53" t="s">
        <v>11</v>
      </c>
      <c r="C13" s="54">
        <v>29748959.28</v>
      </c>
      <c r="D13" s="54">
        <v>31458221</v>
      </c>
      <c r="E13" s="54">
        <v>34563292.22</v>
      </c>
      <c r="F13" s="54">
        <v>38317270</v>
      </c>
      <c r="G13" s="54">
        <v>35324159</v>
      </c>
      <c r="H13" s="54">
        <v>35756136</v>
      </c>
      <c r="I13" s="55">
        <v>35959174</v>
      </c>
      <c r="J13" s="54">
        <v>37591371</v>
      </c>
      <c r="K13" s="54">
        <v>37617305</v>
      </c>
      <c r="L13" s="54">
        <v>37744030</v>
      </c>
      <c r="M13" s="54">
        <f>37871550+1</f>
        <v>37871551</v>
      </c>
      <c r="N13" s="54">
        <f>37899872-1</f>
        <v>37899871</v>
      </c>
      <c r="O13" s="54">
        <v>37998999</v>
      </c>
      <c r="P13" s="54">
        <f>38187635</f>
        <v>38187635</v>
      </c>
      <c r="Q13" s="19">
        <v>51598000</v>
      </c>
      <c r="R13" s="19">
        <v>51600000</v>
      </c>
      <c r="S13" s="19">
        <v>51700000</v>
      </c>
      <c r="T13" s="19">
        <v>51800000</v>
      </c>
      <c r="U13" s="105">
        <v>52224000</v>
      </c>
    </row>
    <row r="14" spans="1:21" s="43" customFormat="1" ht="19.5" customHeight="1">
      <c r="A14" s="106"/>
      <c r="B14" s="45" t="s">
        <v>47</v>
      </c>
      <c r="C14" s="19">
        <v>380281.44</v>
      </c>
      <c r="D14" s="19">
        <v>398988</v>
      </c>
      <c r="E14" s="19">
        <v>273820</v>
      </c>
      <c r="F14" s="19">
        <v>400000</v>
      </c>
      <c r="G14" s="19">
        <v>400000</v>
      </c>
      <c r="H14" s="19">
        <v>300000</v>
      </c>
      <c r="I14" s="44">
        <v>400000</v>
      </c>
      <c r="J14" s="19">
        <v>300000</v>
      </c>
      <c r="K14" s="19">
        <v>200000</v>
      </c>
      <c r="L14" s="19">
        <v>200000</v>
      </c>
      <c r="M14" s="19">
        <v>200000</v>
      </c>
      <c r="N14" s="19">
        <v>100000</v>
      </c>
      <c r="O14" s="19">
        <v>70000</v>
      </c>
      <c r="P14" s="19">
        <v>70000</v>
      </c>
      <c r="Q14" s="19">
        <v>139859</v>
      </c>
      <c r="R14" s="19">
        <v>104526</v>
      </c>
      <c r="S14" s="19">
        <v>69194</v>
      </c>
      <c r="T14" s="19">
        <v>33861</v>
      </c>
      <c r="U14" s="105">
        <v>3681</v>
      </c>
    </row>
    <row r="15" spans="1:21" s="43" customFormat="1" ht="19.5" customHeight="1">
      <c r="A15" s="106"/>
      <c r="B15" s="45" t="s">
        <v>48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44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0</v>
      </c>
      <c r="U15" s="105">
        <v>0</v>
      </c>
    </row>
    <row r="16" spans="1:21" s="43" customFormat="1" ht="19.5" customHeight="1" thickBot="1">
      <c r="A16" s="107">
        <v>2</v>
      </c>
      <c r="B16" s="67" t="s">
        <v>12</v>
      </c>
      <c r="C16" s="68">
        <v>3417613.94</v>
      </c>
      <c r="D16" s="68">
        <v>5224225</v>
      </c>
      <c r="E16" s="68">
        <v>4138794</v>
      </c>
      <c r="F16" s="68">
        <v>10250300</v>
      </c>
      <c r="G16" s="68">
        <v>19907026</v>
      </c>
      <c r="H16" s="68">
        <v>14306658</v>
      </c>
      <c r="I16" s="69">
        <v>3900247</v>
      </c>
      <c r="J16" s="68">
        <v>1479850</v>
      </c>
      <c r="K16" s="68">
        <v>1484012</v>
      </c>
      <c r="L16" s="68">
        <v>1516486</v>
      </c>
      <c r="M16" s="68">
        <v>812718</v>
      </c>
      <c r="N16" s="68">
        <v>1428973</v>
      </c>
      <c r="O16" s="68">
        <v>1148775</v>
      </c>
      <c r="P16" s="68">
        <v>1171750</v>
      </c>
      <c r="Q16" s="19">
        <v>1200000</v>
      </c>
      <c r="R16" s="19">
        <v>1200000</v>
      </c>
      <c r="S16" s="19">
        <v>1200000</v>
      </c>
      <c r="T16" s="19">
        <v>1200000</v>
      </c>
      <c r="U16" s="105">
        <v>1200000</v>
      </c>
    </row>
    <row r="17" spans="1:21" s="43" customFormat="1" ht="19.5" customHeight="1" thickBot="1">
      <c r="A17" s="95" t="s">
        <v>13</v>
      </c>
      <c r="B17" s="56" t="s">
        <v>14</v>
      </c>
      <c r="C17" s="57">
        <f aca="true" t="shared" si="2" ref="C17:U17">C5-C12</f>
        <v>109648.77999999747</v>
      </c>
      <c r="D17" s="57">
        <f t="shared" si="2"/>
        <v>1237995.75</v>
      </c>
      <c r="E17" s="57">
        <f>E5-E12</f>
        <v>-1151003.2199999988</v>
      </c>
      <c r="F17" s="57">
        <f>F5-F12</f>
        <v>-4756971</v>
      </c>
      <c r="G17" s="57">
        <f>G5-G12</f>
        <v>-9019720</v>
      </c>
      <c r="H17" s="57">
        <f t="shared" si="2"/>
        <v>-81103</v>
      </c>
      <c r="I17" s="66">
        <f t="shared" si="2"/>
        <v>1643936</v>
      </c>
      <c r="J17" s="57">
        <f t="shared" si="2"/>
        <v>1600437</v>
      </c>
      <c r="K17" s="57">
        <f t="shared" si="2"/>
        <v>1630436</v>
      </c>
      <c r="L17" s="57">
        <f t="shared" si="2"/>
        <v>1658942</v>
      </c>
      <c r="M17" s="57">
        <f t="shared" si="2"/>
        <v>1618176</v>
      </c>
      <c r="N17" s="57">
        <f t="shared" si="2"/>
        <v>1360455</v>
      </c>
      <c r="O17" s="57">
        <f t="shared" si="2"/>
        <v>1432287</v>
      </c>
      <c r="P17" s="58">
        <f t="shared" si="2"/>
        <v>1515384</v>
      </c>
      <c r="Q17" s="50">
        <f t="shared" si="2"/>
        <v>552000</v>
      </c>
      <c r="R17" s="17">
        <f t="shared" si="2"/>
        <v>552000</v>
      </c>
      <c r="S17" s="17">
        <f t="shared" si="2"/>
        <v>552000</v>
      </c>
      <c r="T17" s="17">
        <f t="shared" si="2"/>
        <v>552000</v>
      </c>
      <c r="U17" s="101">
        <f t="shared" si="2"/>
        <v>276000</v>
      </c>
    </row>
    <row r="18" spans="1:21" s="43" customFormat="1" ht="19.5" customHeight="1" thickBot="1">
      <c r="A18" s="95" t="s">
        <v>15</v>
      </c>
      <c r="B18" s="56" t="s">
        <v>16</v>
      </c>
      <c r="C18" s="57">
        <f>SUM(C19:C20)</f>
        <v>1161954.54</v>
      </c>
      <c r="D18" s="57">
        <f>SUM(D19:D22)</f>
        <v>412603</v>
      </c>
      <c r="E18" s="57">
        <f aca="true" t="shared" si="3" ref="E18:P18">SUM(E19:E22)</f>
        <v>4762234</v>
      </c>
      <c r="F18" s="57">
        <f t="shared" si="3"/>
        <v>6336231</v>
      </c>
      <c r="G18" s="57">
        <f t="shared" si="3"/>
        <v>10817849</v>
      </c>
      <c r="H18" s="57">
        <f t="shared" si="3"/>
        <v>1641539</v>
      </c>
      <c r="I18" s="57">
        <f t="shared" si="3"/>
        <v>60562</v>
      </c>
      <c r="J18" s="57">
        <f t="shared" si="3"/>
        <v>0</v>
      </c>
      <c r="K18" s="57">
        <f t="shared" si="3"/>
        <v>0</v>
      </c>
      <c r="L18" s="57">
        <f t="shared" si="3"/>
        <v>0</v>
      </c>
      <c r="M18" s="57">
        <f t="shared" si="3"/>
        <v>0</v>
      </c>
      <c r="N18" s="57">
        <f t="shared" si="3"/>
        <v>0</v>
      </c>
      <c r="O18" s="57">
        <f t="shared" si="3"/>
        <v>0</v>
      </c>
      <c r="P18" s="58">
        <f t="shared" si="3"/>
        <v>0</v>
      </c>
      <c r="Q18" s="50">
        <f>SUM(Q19:Q20)</f>
        <v>0</v>
      </c>
      <c r="R18" s="17">
        <f>SUM(R19:R20)</f>
        <v>0</v>
      </c>
      <c r="S18" s="17">
        <f>SUM(S19:S20)</f>
        <v>0</v>
      </c>
      <c r="T18" s="17">
        <f>SUM(T19:T20)</f>
        <v>0</v>
      </c>
      <c r="U18" s="101">
        <f>SUM(U19:U20)</f>
        <v>0</v>
      </c>
    </row>
    <row r="19" spans="1:21" ht="19.5" customHeight="1">
      <c r="A19" s="97">
        <v>1</v>
      </c>
      <c r="B19" s="63" t="s">
        <v>17</v>
      </c>
      <c r="C19" s="64" t="s">
        <v>18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5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7" t="s">
        <v>18</v>
      </c>
      <c r="R19" s="7" t="s">
        <v>18</v>
      </c>
      <c r="S19" s="7" t="s">
        <v>18</v>
      </c>
      <c r="T19" s="7" t="s">
        <v>18</v>
      </c>
      <c r="U19" s="98" t="s">
        <v>18</v>
      </c>
    </row>
    <row r="20" spans="1:21" ht="19.5" customHeight="1">
      <c r="A20" s="99">
        <v>2</v>
      </c>
      <c r="B20" s="20" t="s">
        <v>49</v>
      </c>
      <c r="C20" s="7">
        <v>1161954.54</v>
      </c>
      <c r="D20" s="7"/>
      <c r="E20" s="7">
        <v>3869916</v>
      </c>
      <c r="F20" s="7">
        <v>4200000</v>
      </c>
      <c r="G20" s="7">
        <v>3468750</v>
      </c>
      <c r="H20" s="7" t="s">
        <v>19</v>
      </c>
      <c r="I20" s="16" t="s">
        <v>19</v>
      </c>
      <c r="J20" s="7" t="s">
        <v>19</v>
      </c>
      <c r="K20" s="7" t="s">
        <v>19</v>
      </c>
      <c r="L20" s="7" t="s">
        <v>19</v>
      </c>
      <c r="M20" s="7" t="s">
        <v>19</v>
      </c>
      <c r="N20" s="7" t="s">
        <v>19</v>
      </c>
      <c r="O20" s="7" t="s">
        <v>19</v>
      </c>
      <c r="P20" s="7" t="s">
        <v>19</v>
      </c>
      <c r="Q20" s="7" t="s">
        <v>19</v>
      </c>
      <c r="R20" s="7" t="s">
        <v>19</v>
      </c>
      <c r="S20" s="7" t="s">
        <v>19</v>
      </c>
      <c r="T20" s="7" t="s">
        <v>19</v>
      </c>
      <c r="U20" s="98" t="s">
        <v>19</v>
      </c>
    </row>
    <row r="21" spans="1:21" ht="19.5" customHeight="1">
      <c r="A21" s="99">
        <v>3</v>
      </c>
      <c r="B21" s="20" t="s">
        <v>50</v>
      </c>
      <c r="C21" s="7"/>
      <c r="D21" s="7">
        <v>378000</v>
      </c>
      <c r="E21" s="7">
        <v>613900</v>
      </c>
      <c r="F21" s="7"/>
      <c r="G21" s="7">
        <v>7349099</v>
      </c>
      <c r="H21" s="7">
        <v>1641539</v>
      </c>
      <c r="I21" s="16">
        <v>60562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98"/>
    </row>
    <row r="22" spans="1:21" ht="19.5" customHeight="1" thickBot="1">
      <c r="A22" s="108"/>
      <c r="B22" s="70" t="s">
        <v>51</v>
      </c>
      <c r="C22" s="71">
        <v>0</v>
      </c>
      <c r="D22" s="71">
        <v>34603</v>
      </c>
      <c r="E22" s="71">
        <v>278418</v>
      </c>
      <c r="F22" s="68">
        <v>2136231</v>
      </c>
      <c r="G22" s="71">
        <v>0</v>
      </c>
      <c r="H22" s="71">
        <v>0</v>
      </c>
      <c r="I22" s="72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">
        <v>0</v>
      </c>
      <c r="R22" s="7">
        <v>0</v>
      </c>
      <c r="S22" s="7">
        <v>0</v>
      </c>
      <c r="T22" s="7">
        <v>0</v>
      </c>
      <c r="U22" s="98">
        <v>0</v>
      </c>
    </row>
    <row r="23" spans="1:21" ht="19.5" customHeight="1" thickBot="1">
      <c r="A23" s="95" t="s">
        <v>20</v>
      </c>
      <c r="B23" s="56" t="s">
        <v>56</v>
      </c>
      <c r="C23" s="57">
        <f>C24+C26</f>
        <v>1237000</v>
      </c>
      <c r="D23" s="57">
        <f>D24+D26</f>
        <v>1372180</v>
      </c>
      <c r="E23" s="57">
        <f>E24+E26</f>
        <v>1475000</v>
      </c>
      <c r="F23" s="57">
        <f>F24+F26+F28</f>
        <v>1579260</v>
      </c>
      <c r="G23" s="57">
        <f aca="true" t="shared" si="4" ref="G23:U23">G24+G26+G28</f>
        <v>1798129</v>
      </c>
      <c r="H23" s="57">
        <f t="shared" si="4"/>
        <v>1560436</v>
      </c>
      <c r="I23" s="57">
        <f t="shared" si="4"/>
        <v>1704498</v>
      </c>
      <c r="J23" s="57">
        <f t="shared" si="4"/>
        <v>1600436</v>
      </c>
      <c r="K23" s="57">
        <f t="shared" si="4"/>
        <v>1630436</v>
      </c>
      <c r="L23" s="57">
        <f t="shared" si="4"/>
        <v>1650436</v>
      </c>
      <c r="M23" s="57">
        <f t="shared" si="4"/>
        <v>1626682</v>
      </c>
      <c r="N23" s="57">
        <f t="shared" si="4"/>
        <v>1626682</v>
      </c>
      <c r="O23" s="57">
        <f t="shared" si="4"/>
        <v>1499833</v>
      </c>
      <c r="P23" s="58">
        <f t="shared" si="4"/>
        <v>1515384</v>
      </c>
      <c r="Q23" s="59">
        <f t="shared" si="4"/>
        <v>551724</v>
      </c>
      <c r="R23" s="6">
        <f t="shared" si="4"/>
        <v>551724</v>
      </c>
      <c r="S23" s="6">
        <f t="shared" si="4"/>
        <v>551724</v>
      </c>
      <c r="T23" s="6">
        <f t="shared" si="4"/>
        <v>551724</v>
      </c>
      <c r="U23" s="96">
        <f t="shared" si="4"/>
        <v>275864</v>
      </c>
    </row>
    <row r="24" spans="1:21" ht="19.5" customHeight="1">
      <c r="A24" s="97">
        <v>1</v>
      </c>
      <c r="B24" s="73" t="s">
        <v>52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5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>
        <v>0</v>
      </c>
      <c r="Q24" s="7">
        <v>0</v>
      </c>
      <c r="R24" s="7">
        <v>0</v>
      </c>
      <c r="S24" s="7">
        <v>0</v>
      </c>
      <c r="T24" s="7">
        <v>0</v>
      </c>
      <c r="U24" s="98">
        <v>0</v>
      </c>
    </row>
    <row r="25" spans="1:21" ht="19.5" customHeight="1">
      <c r="A25" s="99"/>
      <c r="B25" s="20" t="s">
        <v>53</v>
      </c>
      <c r="C25" s="7"/>
      <c r="D25" s="7"/>
      <c r="E25" s="7"/>
      <c r="F25" s="7"/>
      <c r="G25" s="7"/>
      <c r="H25" s="7"/>
      <c r="I25" s="16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98"/>
    </row>
    <row r="26" spans="1:21" ht="19.5" customHeight="1">
      <c r="A26" s="99">
        <v>2</v>
      </c>
      <c r="B26" s="12" t="s">
        <v>21</v>
      </c>
      <c r="C26" s="7">
        <v>1237000</v>
      </c>
      <c r="D26" s="7">
        <v>1372180</v>
      </c>
      <c r="E26" s="7">
        <v>1475000</v>
      </c>
      <c r="F26" s="7">
        <v>1547360</v>
      </c>
      <c r="G26" s="7">
        <v>1778129</v>
      </c>
      <c r="H26" s="7">
        <v>1480436</v>
      </c>
      <c r="I26" s="16">
        <v>1380436</v>
      </c>
      <c r="J26" s="7">
        <v>880436</v>
      </c>
      <c r="K26" s="7">
        <v>880436</v>
      </c>
      <c r="L26" s="7">
        <v>900436</v>
      </c>
      <c r="M26" s="7">
        <v>1253513</v>
      </c>
      <c r="N26" s="7">
        <v>1253513</v>
      </c>
      <c r="O26" s="7">
        <v>1049833</v>
      </c>
      <c r="P26" s="7">
        <v>865384</v>
      </c>
      <c r="Q26" s="7">
        <v>551724</v>
      </c>
      <c r="R26" s="7">
        <v>551724</v>
      </c>
      <c r="S26" s="7">
        <v>551724</v>
      </c>
      <c r="T26" s="7">
        <v>551724</v>
      </c>
      <c r="U26" s="98">
        <v>275864</v>
      </c>
    </row>
    <row r="27" spans="1:21" ht="19.5" customHeight="1">
      <c r="A27" s="99"/>
      <c r="B27" s="12" t="s">
        <v>22</v>
      </c>
      <c r="C27" s="14" t="s">
        <v>18</v>
      </c>
      <c r="D27" s="37">
        <v>0</v>
      </c>
      <c r="E27" s="37">
        <v>0</v>
      </c>
      <c r="F27" s="7">
        <v>0</v>
      </c>
      <c r="G27" s="7">
        <v>80769</v>
      </c>
      <c r="H27" s="7">
        <v>323077</v>
      </c>
      <c r="I27" s="16">
        <v>323077</v>
      </c>
      <c r="J27" s="7">
        <v>323077</v>
      </c>
      <c r="K27" s="7">
        <v>323077</v>
      </c>
      <c r="L27" s="7">
        <v>323077</v>
      </c>
      <c r="M27" s="7">
        <v>646154</v>
      </c>
      <c r="N27" s="7">
        <v>646154</v>
      </c>
      <c r="O27" s="7">
        <v>646154</v>
      </c>
      <c r="P27" s="7">
        <v>565384</v>
      </c>
      <c r="Q27" s="7"/>
      <c r="R27" s="7"/>
      <c r="S27" s="7"/>
      <c r="T27" s="7"/>
      <c r="U27" s="98"/>
    </row>
    <row r="28" spans="1:21" ht="19.5" customHeight="1">
      <c r="A28" s="99">
        <v>3</v>
      </c>
      <c r="B28" s="20" t="s">
        <v>54</v>
      </c>
      <c r="C28" s="14"/>
      <c r="D28" s="14"/>
      <c r="E28" s="14"/>
      <c r="F28" s="7">
        <v>31900</v>
      </c>
      <c r="G28" s="7">
        <v>20000</v>
      </c>
      <c r="H28" s="7">
        <v>80000</v>
      </c>
      <c r="I28" s="16">
        <v>324062</v>
      </c>
      <c r="J28" s="7">
        <v>720000</v>
      </c>
      <c r="K28" s="7">
        <v>750000</v>
      </c>
      <c r="L28" s="7">
        <v>750000</v>
      </c>
      <c r="M28" s="7">
        <v>373169</v>
      </c>
      <c r="N28" s="7">
        <v>373169</v>
      </c>
      <c r="O28" s="7">
        <v>450000</v>
      </c>
      <c r="P28" s="7">
        <v>650000</v>
      </c>
      <c r="Q28" s="7"/>
      <c r="R28" s="7"/>
      <c r="S28" s="7"/>
      <c r="T28" s="7"/>
      <c r="U28" s="98"/>
    </row>
    <row r="29" spans="1:21" ht="19.5" customHeight="1" thickBot="1">
      <c r="A29" s="108"/>
      <c r="B29" s="70" t="s">
        <v>55</v>
      </c>
      <c r="C29" s="75"/>
      <c r="D29" s="75"/>
      <c r="E29" s="75"/>
      <c r="F29" s="71">
        <v>0</v>
      </c>
      <c r="G29" s="71"/>
      <c r="H29" s="71"/>
      <c r="I29" s="72"/>
      <c r="J29" s="71"/>
      <c r="K29" s="71"/>
      <c r="L29" s="71"/>
      <c r="M29" s="71"/>
      <c r="N29" s="71"/>
      <c r="O29" s="71"/>
      <c r="P29" s="71"/>
      <c r="Q29" s="7"/>
      <c r="R29" s="7"/>
      <c r="S29" s="7"/>
      <c r="T29" s="7"/>
      <c r="U29" s="98"/>
    </row>
    <row r="30" spans="1:21" ht="19.5" customHeight="1" thickBot="1">
      <c r="A30" s="109" t="s">
        <v>23</v>
      </c>
      <c r="B30" s="56" t="s">
        <v>24</v>
      </c>
      <c r="C30" s="78">
        <v>6567180</v>
      </c>
      <c r="D30" s="79">
        <v>5573000</v>
      </c>
      <c r="E30" s="79">
        <v>8581816</v>
      </c>
      <c r="F30" s="78">
        <v>11202556</v>
      </c>
      <c r="G30" s="78">
        <v>20222276</v>
      </c>
      <c r="H30" s="78">
        <v>20303379</v>
      </c>
      <c r="I30" s="79">
        <v>18659443</v>
      </c>
      <c r="J30" s="78">
        <v>17059007</v>
      </c>
      <c r="K30" s="78">
        <v>15428571</v>
      </c>
      <c r="L30" s="78">
        <v>13778135</v>
      </c>
      <c r="M30" s="78">
        <v>12151453</v>
      </c>
      <c r="N30" s="78">
        <v>10524771</v>
      </c>
      <c r="O30" s="78">
        <v>9024938</v>
      </c>
      <c r="P30" s="80">
        <v>7509554</v>
      </c>
      <c r="Q30" s="74" t="e">
        <f>SUM(#REF!)</f>
        <v>#REF!</v>
      </c>
      <c r="R30" s="9" t="e">
        <f>SUM(#REF!)</f>
        <v>#REF!</v>
      </c>
      <c r="S30" s="9" t="e">
        <f>SUM(#REF!)</f>
        <v>#REF!</v>
      </c>
      <c r="T30" s="9" t="e">
        <f>SUM(#REF!)</f>
        <v>#REF!</v>
      </c>
      <c r="U30" s="110" t="e">
        <f>SUM(#REF!)</f>
        <v>#REF!</v>
      </c>
    </row>
    <row r="31" spans="1:21" ht="19.5" customHeight="1">
      <c r="A31" s="97"/>
      <c r="B31" s="63" t="s">
        <v>25</v>
      </c>
      <c r="C31" s="76">
        <f>C30/C5</f>
        <v>0.19735353370343545</v>
      </c>
      <c r="D31" s="77">
        <f>D30/D5</f>
        <v>0.14696558749872685</v>
      </c>
      <c r="E31" s="77">
        <f aca="true" t="shared" si="5" ref="E31:U31">E30/E5</f>
        <v>0.22853711036776223</v>
      </c>
      <c r="F31" s="77">
        <f t="shared" si="5"/>
        <v>0.255704241797744</v>
      </c>
      <c r="G31" s="77">
        <f t="shared" si="5"/>
        <v>0.43760300609383407</v>
      </c>
      <c r="H31" s="77">
        <f t="shared" si="5"/>
        <v>0.4062163282950951</v>
      </c>
      <c r="I31" s="77">
        <f t="shared" si="5"/>
        <v>0.44958876459077757</v>
      </c>
      <c r="J31" s="77">
        <f t="shared" si="5"/>
        <v>0.4194322985308344</v>
      </c>
      <c r="K31" s="77">
        <f t="shared" si="5"/>
        <v>0.3787848512191459</v>
      </c>
      <c r="L31" s="77">
        <f t="shared" si="5"/>
        <v>0.33671352636195717</v>
      </c>
      <c r="M31" s="77">
        <f t="shared" si="5"/>
        <v>0.30150659593977486</v>
      </c>
      <c r="N31" s="77">
        <f t="shared" si="5"/>
        <v>0.25866189043954774</v>
      </c>
      <c r="O31" s="77">
        <f t="shared" si="5"/>
        <v>0.22239833498525297</v>
      </c>
      <c r="P31" s="77">
        <f t="shared" si="5"/>
        <v>0.1837210093169943</v>
      </c>
      <c r="Q31" s="77" t="e">
        <f t="shared" si="5"/>
        <v>#REF!</v>
      </c>
      <c r="R31" s="77" t="e">
        <f t="shared" si="5"/>
        <v>#REF!</v>
      </c>
      <c r="S31" s="77" t="e">
        <f t="shared" si="5"/>
        <v>#REF!</v>
      </c>
      <c r="T31" s="77" t="e">
        <f t="shared" si="5"/>
        <v>#REF!</v>
      </c>
      <c r="U31" s="77" t="e">
        <f t="shared" si="5"/>
        <v>#REF!</v>
      </c>
    </row>
    <row r="32" spans="1:21" ht="19.5" customHeight="1" thickBot="1">
      <c r="A32" s="108"/>
      <c r="B32" s="48" t="s">
        <v>26</v>
      </c>
      <c r="C32" s="49"/>
      <c r="D32" s="81">
        <f>(D30-D33)/D5</f>
        <v>0.10025811474097608</v>
      </c>
      <c r="E32" s="81">
        <f aca="true" t="shared" si="6" ref="E32:P32">(E30-E33)/E5</f>
        <v>0.18196535103927627</v>
      </c>
      <c r="F32" s="81">
        <f>(F30-F33)/F5</f>
        <v>0.21052658969579485</v>
      </c>
      <c r="G32" s="81">
        <f t="shared" si="6"/>
        <v>0.390036260482112</v>
      </c>
      <c r="H32" s="81">
        <f t="shared" si="6"/>
        <v>0.36899397821494273</v>
      </c>
      <c r="I32" s="81">
        <f t="shared" si="6"/>
        <v>0.3988820711539069</v>
      </c>
      <c r="J32" s="81">
        <f t="shared" si="6"/>
        <v>0.3727060008224892</v>
      </c>
      <c r="K32" s="81">
        <f t="shared" si="6"/>
        <v>0.3338460537163721</v>
      </c>
      <c r="L32" s="81">
        <f t="shared" si="6"/>
        <v>0.2914921062737439</v>
      </c>
      <c r="M32" s="81">
        <f t="shared" si="6"/>
        <v>0.25618224899258596</v>
      </c>
      <c r="N32" s="81">
        <f t="shared" si="6"/>
        <v>0.21622611389790716</v>
      </c>
      <c r="O32" s="81">
        <f t="shared" si="6"/>
        <v>0.1837134990999644</v>
      </c>
      <c r="P32" s="81">
        <f t="shared" si="6"/>
        <v>0.14493463816432484</v>
      </c>
      <c r="Q32" s="15" t="e">
        <f>(Q30+Q18-Q33)/Q5</f>
        <v>#REF!</v>
      </c>
      <c r="R32" s="15" t="e">
        <f>(R30+R18-R33)/R5</f>
        <v>#REF!</v>
      </c>
      <c r="S32" s="15" t="e">
        <f>(S30+S18-S33)/S5</f>
        <v>#REF!</v>
      </c>
      <c r="T32" s="15" t="e">
        <f>(T30+T18-T33)/T5</f>
        <v>#REF!</v>
      </c>
      <c r="U32" s="112" t="e">
        <f>(U30+U18-U33)/U5</f>
        <v>#REF!</v>
      </c>
    </row>
    <row r="33" spans="1:21" ht="19.5" customHeight="1" thickBot="1">
      <c r="A33" s="95" t="s">
        <v>27</v>
      </c>
      <c r="B33" s="56" t="s">
        <v>28</v>
      </c>
      <c r="C33" s="57">
        <f aca="true" t="shared" si="7" ref="C33:U33">C14+C15+C23</f>
        <v>1617281.44</v>
      </c>
      <c r="D33" s="57">
        <f t="shared" si="7"/>
        <v>1771168</v>
      </c>
      <c r="E33" s="57">
        <f t="shared" si="7"/>
        <v>1748820</v>
      </c>
      <c r="F33" s="57">
        <f t="shared" si="7"/>
        <v>1979260</v>
      </c>
      <c r="G33" s="57">
        <f t="shared" si="7"/>
        <v>2198129</v>
      </c>
      <c r="H33" s="57">
        <f t="shared" si="7"/>
        <v>1860436</v>
      </c>
      <c r="I33" s="66">
        <f t="shared" si="7"/>
        <v>2104498</v>
      </c>
      <c r="J33" s="57">
        <f t="shared" si="7"/>
        <v>1900436</v>
      </c>
      <c r="K33" s="57">
        <f t="shared" si="7"/>
        <v>1830436</v>
      </c>
      <c r="L33" s="57">
        <f t="shared" si="7"/>
        <v>1850436</v>
      </c>
      <c r="M33" s="57">
        <f t="shared" si="7"/>
        <v>1826682</v>
      </c>
      <c r="N33" s="57">
        <f t="shared" si="7"/>
        <v>1726682</v>
      </c>
      <c r="O33" s="57">
        <f t="shared" si="7"/>
        <v>1569833</v>
      </c>
      <c r="P33" s="58">
        <f t="shared" si="7"/>
        <v>1585384</v>
      </c>
      <c r="Q33" s="59">
        <f t="shared" si="7"/>
        <v>691583</v>
      </c>
      <c r="R33" s="6">
        <f t="shared" si="7"/>
        <v>656250</v>
      </c>
      <c r="S33" s="6">
        <f t="shared" si="7"/>
        <v>620918</v>
      </c>
      <c r="T33" s="6">
        <f t="shared" si="7"/>
        <v>585585</v>
      </c>
      <c r="U33" s="96">
        <f t="shared" si="7"/>
        <v>279545</v>
      </c>
    </row>
    <row r="34" spans="1:21" ht="19.5" customHeight="1">
      <c r="A34" s="97"/>
      <c r="B34" s="63" t="s">
        <v>29</v>
      </c>
      <c r="C34" s="82">
        <f>C33/C5</f>
        <v>0.048601714461455385</v>
      </c>
      <c r="D34" s="83">
        <f>D33/D5</f>
        <v>0.04670747275775077</v>
      </c>
      <c r="E34" s="83">
        <f aca="true" t="shared" si="8" ref="E34:P34">E33/E5</f>
        <v>0.046571759328485944</v>
      </c>
      <c r="F34" s="83">
        <f t="shared" si="8"/>
        <v>0.04517765210194912</v>
      </c>
      <c r="G34" s="83">
        <f t="shared" si="8"/>
        <v>0.04756674561172211</v>
      </c>
      <c r="H34" s="83">
        <f t="shared" si="8"/>
        <v>0.03722235008015235</v>
      </c>
      <c r="I34" s="83">
        <f t="shared" si="8"/>
        <v>0.05070669343687066</v>
      </c>
      <c r="J34" s="83">
        <f t="shared" si="8"/>
        <v>0.04672629770834521</v>
      </c>
      <c r="K34" s="83">
        <f t="shared" si="8"/>
        <v>0.04493879750277382</v>
      </c>
      <c r="L34" s="83">
        <f t="shared" si="8"/>
        <v>0.04522142008821329</v>
      </c>
      <c r="M34" s="83">
        <f t="shared" si="8"/>
        <v>0.04532434694718893</v>
      </c>
      <c r="N34" s="83">
        <f t="shared" si="8"/>
        <v>0.042435776541640595</v>
      </c>
      <c r="O34" s="83">
        <f t="shared" si="8"/>
        <v>0.03868483588528859</v>
      </c>
      <c r="P34" s="83">
        <f t="shared" si="8"/>
        <v>0.03878637115266948</v>
      </c>
      <c r="Q34" s="11">
        <f>Q33/Q5</f>
        <v>0.012963130271790066</v>
      </c>
      <c r="R34" s="11">
        <f>R33/R5</f>
        <v>0.01230038236617184</v>
      </c>
      <c r="S34" s="11">
        <f>S33/S5</f>
        <v>0.011616366085459852</v>
      </c>
      <c r="T34" s="11">
        <f>T33/T5</f>
        <v>0.010934885718553928</v>
      </c>
      <c r="U34" s="113">
        <f>U33/U5</f>
        <v>0.005205679702048417</v>
      </c>
    </row>
    <row r="35" spans="1:21" ht="19.5" customHeight="1" thickBot="1">
      <c r="A35" s="108"/>
      <c r="B35" s="48" t="s">
        <v>26</v>
      </c>
      <c r="C35" s="49"/>
      <c r="D35" s="81">
        <f aca="true" t="shared" si="9" ref="D35:U35">(D33-D27)/D5</f>
        <v>0.04670747275775077</v>
      </c>
      <c r="E35" s="81">
        <f t="shared" si="9"/>
        <v>0.046571759328485944</v>
      </c>
      <c r="F35" s="81">
        <f t="shared" si="9"/>
        <v>0.04517765210194912</v>
      </c>
      <c r="G35" s="81">
        <f t="shared" si="9"/>
        <v>0.04581893259605598</v>
      </c>
      <c r="H35" s="81">
        <f t="shared" si="9"/>
        <v>0.030758443126704137</v>
      </c>
      <c r="I35" s="81">
        <f t="shared" si="9"/>
        <v>0.042922335173995685</v>
      </c>
      <c r="J35" s="81">
        <f t="shared" si="9"/>
        <v>0.038782756286945566</v>
      </c>
      <c r="K35" s="81">
        <f t="shared" si="9"/>
        <v>0.03700697585984085</v>
      </c>
      <c r="L35" s="81">
        <f t="shared" si="9"/>
        <v>0.037325983154517836</v>
      </c>
      <c r="M35" s="81">
        <f t="shared" si="9"/>
        <v>0.029291721631280684</v>
      </c>
      <c r="N35" s="81">
        <f t="shared" si="9"/>
        <v>0.026555581603900327</v>
      </c>
      <c r="O35" s="81">
        <f t="shared" si="9"/>
        <v>0.022761892841905784</v>
      </c>
      <c r="P35" s="81">
        <f t="shared" si="9"/>
        <v>0.024954268855824753</v>
      </c>
      <c r="Q35" s="10">
        <f t="shared" si="9"/>
        <v>0.012963130271790066</v>
      </c>
      <c r="R35" s="10">
        <f t="shared" si="9"/>
        <v>0.01230038236617184</v>
      </c>
      <c r="S35" s="10">
        <f t="shared" si="9"/>
        <v>0.011616366085459852</v>
      </c>
      <c r="T35" s="10">
        <f t="shared" si="9"/>
        <v>0.010934885718553928</v>
      </c>
      <c r="U35" s="111">
        <f t="shared" si="9"/>
        <v>0.005205679702048417</v>
      </c>
    </row>
    <row r="36" spans="1:21" s="8" customFormat="1" ht="19.5" customHeight="1">
      <c r="A36" s="114" t="s">
        <v>43</v>
      </c>
      <c r="B36" s="115" t="s">
        <v>30</v>
      </c>
      <c r="C36" s="116"/>
      <c r="D36" s="122">
        <v>0</v>
      </c>
      <c r="E36" s="122">
        <v>0</v>
      </c>
      <c r="F36" s="120">
        <v>0</v>
      </c>
      <c r="G36" s="120">
        <v>0.0746</v>
      </c>
      <c r="H36" s="120">
        <v>0.0477</v>
      </c>
      <c r="I36" s="120">
        <v>0.0488</v>
      </c>
      <c r="J36" s="120">
        <v>0.0674</v>
      </c>
      <c r="K36" s="120">
        <v>0.0687</v>
      </c>
      <c r="L36" s="120">
        <v>0.0649</v>
      </c>
      <c r="M36" s="120">
        <v>0.0555</v>
      </c>
      <c r="N36" s="120">
        <v>0.0568</v>
      </c>
      <c r="O36" s="120">
        <v>0.0504</v>
      </c>
      <c r="P36" s="121">
        <v>0.051</v>
      </c>
      <c r="Q36" s="117">
        <f>Q39-Q37</f>
        <v>0.0411273143069616</v>
      </c>
      <c r="R36" s="118">
        <f>R39-R37</f>
        <v>0.03600853144844957</v>
      </c>
      <c r="S36" s="118">
        <f>S39-S37</f>
        <v>0.027652020919586087</v>
      </c>
      <c r="T36" s="118">
        <f>T39-T37</f>
        <v>0.01813715558070287</v>
      </c>
      <c r="U36" s="119">
        <f>U39-U37</f>
        <v>0.02382978429143478</v>
      </c>
    </row>
    <row r="37" spans="1:21" s="21" customFormat="1" ht="14.25" hidden="1">
      <c r="A37" s="84"/>
      <c r="B37" s="85" t="s">
        <v>31</v>
      </c>
      <c r="C37" s="86" t="s">
        <v>31</v>
      </c>
      <c r="D37" s="86"/>
      <c r="E37" s="86"/>
      <c r="F37" s="87">
        <f aca="true" t="shared" si="10" ref="F37:U37">F46</f>
        <v>0.04517765210194912</v>
      </c>
      <c r="G37" s="87">
        <f t="shared" si="10"/>
        <v>0.04756674561172211</v>
      </c>
      <c r="H37" s="87">
        <f t="shared" si="10"/>
        <v>0.03722235008015235</v>
      </c>
      <c r="I37" s="87">
        <f t="shared" si="10"/>
        <v>0.05070669343687066</v>
      </c>
      <c r="J37" s="87">
        <f t="shared" si="10"/>
        <v>0.04672629770834521</v>
      </c>
      <c r="K37" s="87">
        <f t="shared" si="10"/>
        <v>0.04493879750277382</v>
      </c>
      <c r="L37" s="87">
        <f t="shared" si="10"/>
        <v>0.04522142008821329</v>
      </c>
      <c r="M37" s="87">
        <f t="shared" si="10"/>
        <v>0.04532434694718893</v>
      </c>
      <c r="N37" s="87">
        <f t="shared" si="10"/>
        <v>0.042435776541640595</v>
      </c>
      <c r="O37" s="87">
        <f t="shared" si="10"/>
        <v>0.03868483588528859</v>
      </c>
      <c r="P37" s="87">
        <f t="shared" si="10"/>
        <v>0.03878637115266948</v>
      </c>
      <c r="Q37" s="23">
        <f t="shared" si="10"/>
        <v>0.012963130271790066</v>
      </c>
      <c r="R37" s="23">
        <f t="shared" si="10"/>
        <v>0.01230038236617184</v>
      </c>
      <c r="S37" s="23">
        <f t="shared" si="10"/>
        <v>0.011616366085459852</v>
      </c>
      <c r="T37" s="23">
        <f t="shared" si="10"/>
        <v>0.010934885718553928</v>
      </c>
      <c r="U37" s="23">
        <f t="shared" si="10"/>
        <v>0.005205679702048417</v>
      </c>
    </row>
    <row r="38" spans="1:16" s="21" customFormat="1" ht="14.25" hidden="1">
      <c r="A38" s="26"/>
      <c r="B38" s="29"/>
      <c r="C38" s="30"/>
      <c r="D38" s="30"/>
      <c r="E38" s="30"/>
      <c r="F38" s="31" t="s">
        <v>32</v>
      </c>
      <c r="G38" s="32"/>
      <c r="H38" s="32"/>
      <c r="I38" s="32"/>
      <c r="J38" s="32"/>
      <c r="K38" s="32"/>
      <c r="L38" s="32"/>
      <c r="M38" s="30"/>
      <c r="N38" s="30"/>
      <c r="O38" s="30"/>
      <c r="P38" s="30"/>
    </row>
    <row r="39" spans="1:21" s="24" customFormat="1" ht="14.25" hidden="1">
      <c r="A39" s="27"/>
      <c r="B39" s="38" t="s">
        <v>33</v>
      </c>
      <c r="C39" s="33"/>
      <c r="D39" s="33"/>
      <c r="E39" s="33"/>
      <c r="F39" s="31">
        <f>(((C9+C11-C13)/C5)+((D9+D11-D13)/D5)+((E9+E11-E13)/E5))/3</f>
        <v>0.10093555560439128</v>
      </c>
      <c r="G39" s="31">
        <f>(((D9+D11-D13)/D5)+((E9+E11-E13)/E5)+((F9+F11-F13)/F5))/3</f>
        <v>0.07462023373035627</v>
      </c>
      <c r="H39" s="31">
        <f aca="true" t="shared" si="11" ref="H39:U39">(((E9+E11-E13)/E5)+((F9+F11-F13)/F5)+((G9+G11-G13)/G5))/3</f>
        <v>0.04778692336412236</v>
      </c>
      <c r="I39" s="31">
        <f t="shared" si="11"/>
        <v>0.04885098199898937</v>
      </c>
      <c r="J39" s="31">
        <f t="shared" si="11"/>
        <v>0.06748154804914196</v>
      </c>
      <c r="K39" s="31">
        <f t="shared" si="11"/>
        <v>0.06878419170580095</v>
      </c>
      <c r="L39" s="31">
        <f t="shared" si="11"/>
        <v>0.06498417434043595</v>
      </c>
      <c r="M39" s="31">
        <f t="shared" si="11"/>
        <v>0.055507331935139716</v>
      </c>
      <c r="N39" s="31">
        <f t="shared" si="11"/>
        <v>0.05689414644122117</v>
      </c>
      <c r="O39" s="31">
        <f t="shared" si="11"/>
        <v>0.050404135014310784</v>
      </c>
      <c r="P39" s="31">
        <f t="shared" si="11"/>
        <v>0.05101274506468312</v>
      </c>
      <c r="Q39" s="23">
        <f t="shared" si="11"/>
        <v>0.054090444578751666</v>
      </c>
      <c r="R39" s="23">
        <f t="shared" si="11"/>
        <v>0.048308913814621414</v>
      </c>
      <c r="S39" s="23">
        <f t="shared" si="11"/>
        <v>0.03926838700504594</v>
      </c>
      <c r="T39" s="23">
        <f t="shared" si="11"/>
        <v>0.029072041299256796</v>
      </c>
      <c r="U39" s="23">
        <f t="shared" si="11"/>
        <v>0.029035463993483196</v>
      </c>
    </row>
    <row r="40" spans="1:16" s="21" customFormat="1" ht="14.25" hidden="1">
      <c r="A40" s="26"/>
      <c r="B40" s="29" t="s">
        <v>34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21" s="22" customFormat="1" ht="15" hidden="1">
      <c r="A41" s="28"/>
      <c r="B41" s="34" t="s">
        <v>35</v>
      </c>
      <c r="C41" s="35">
        <f>SUM(C42:C43)</f>
        <v>0</v>
      </c>
      <c r="D41" s="35">
        <f>SUM(D42:D44)</f>
        <v>0</v>
      </c>
      <c r="E41" s="35">
        <f aca="true" t="shared" si="12" ref="E41:P41">SUM(E42:E44)</f>
        <v>0</v>
      </c>
      <c r="F41" s="35">
        <f t="shared" si="12"/>
        <v>0</v>
      </c>
      <c r="G41" s="35">
        <f t="shared" si="12"/>
        <v>0</v>
      </c>
      <c r="H41" s="35">
        <f t="shared" si="12"/>
        <v>0</v>
      </c>
      <c r="I41" s="35">
        <f t="shared" si="12"/>
        <v>174062</v>
      </c>
      <c r="J41" s="35">
        <f t="shared" si="12"/>
        <v>420000</v>
      </c>
      <c r="K41" s="35">
        <f t="shared" si="12"/>
        <v>550000</v>
      </c>
      <c r="L41" s="35">
        <f t="shared" si="12"/>
        <v>550000</v>
      </c>
      <c r="M41" s="35">
        <f t="shared" si="12"/>
        <v>373169</v>
      </c>
      <c r="N41" s="35">
        <f t="shared" si="12"/>
        <v>373169</v>
      </c>
      <c r="O41" s="35">
        <f t="shared" si="12"/>
        <v>450000</v>
      </c>
      <c r="P41" s="35">
        <f t="shared" si="12"/>
        <v>650000</v>
      </c>
      <c r="Q41" s="22">
        <f>SUM(Q42:Q43)</f>
        <v>0</v>
      </c>
      <c r="R41" s="22">
        <f>SUM(R42:R43)</f>
        <v>0</v>
      </c>
      <c r="S41" s="22">
        <f>SUM(S42:S43)</f>
        <v>0</v>
      </c>
      <c r="T41" s="22">
        <f>SUM(T42:T43)</f>
        <v>0</v>
      </c>
      <c r="U41" s="22">
        <f>SUM(U42:U43)</f>
        <v>0</v>
      </c>
    </row>
    <row r="42" spans="1:16" s="21" customFormat="1" ht="14.25" hidden="1">
      <c r="A42" s="26"/>
      <c r="B42" s="29" t="s">
        <v>36</v>
      </c>
      <c r="C42" s="30"/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</row>
    <row r="43" spans="1:16" s="21" customFormat="1" ht="14.25" hidden="1">
      <c r="A43" s="26"/>
      <c r="B43" s="29" t="s">
        <v>37</v>
      </c>
      <c r="C43" s="30"/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</row>
    <row r="44" spans="1:16" s="21" customFormat="1" ht="14.25" hidden="1">
      <c r="A44" s="26"/>
      <c r="B44" s="29" t="s">
        <v>38</v>
      </c>
      <c r="C44" s="30"/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174062</v>
      </c>
      <c r="J44" s="30">
        <v>420000</v>
      </c>
      <c r="K44" s="30">
        <v>550000</v>
      </c>
      <c r="L44" s="30">
        <v>550000</v>
      </c>
      <c r="M44" s="30">
        <v>373169</v>
      </c>
      <c r="N44" s="30">
        <v>373169</v>
      </c>
      <c r="O44" s="30">
        <v>450000</v>
      </c>
      <c r="P44" s="30">
        <v>650000</v>
      </c>
    </row>
    <row r="45" spans="1:16" s="21" customFormat="1" ht="14.25" hidden="1">
      <c r="A45" s="26"/>
      <c r="B45" s="29"/>
      <c r="C45" s="30"/>
      <c r="D45" s="30"/>
      <c r="E45" s="30"/>
      <c r="F45" s="30"/>
      <c r="G45" s="30">
        <f>F30+G18-G23</f>
        <v>20222276</v>
      </c>
      <c r="H45" s="30">
        <f aca="true" t="shared" si="13" ref="H45:P45">G30+H18-H23</f>
        <v>20303379</v>
      </c>
      <c r="I45" s="30">
        <f t="shared" si="13"/>
        <v>18659443</v>
      </c>
      <c r="J45" s="30">
        <f t="shared" si="13"/>
        <v>17059007</v>
      </c>
      <c r="K45" s="30">
        <f t="shared" si="13"/>
        <v>15428571</v>
      </c>
      <c r="L45" s="30">
        <f t="shared" si="13"/>
        <v>13778135</v>
      </c>
      <c r="M45" s="30">
        <f t="shared" si="13"/>
        <v>12151453</v>
      </c>
      <c r="N45" s="30">
        <f t="shared" si="13"/>
        <v>10524771</v>
      </c>
      <c r="O45" s="30">
        <f t="shared" si="13"/>
        <v>9024938</v>
      </c>
      <c r="P45" s="30">
        <f t="shared" si="13"/>
        <v>7509554</v>
      </c>
    </row>
    <row r="46" spans="1:21" s="21" customFormat="1" ht="14.25" hidden="1">
      <c r="A46" s="26"/>
      <c r="B46" s="29" t="s">
        <v>31</v>
      </c>
      <c r="C46" s="36">
        <f>(C23+C14+C15)/C5</f>
        <v>0.048601714461455385</v>
      </c>
      <c r="D46" s="36">
        <f>(D23+D14+D15)/D5</f>
        <v>0.04670747275775077</v>
      </c>
      <c r="E46" s="36">
        <f aca="true" t="shared" si="14" ref="E46:P46">(E23+E14+E15)/E5</f>
        <v>0.046571759328485944</v>
      </c>
      <c r="F46" s="36">
        <f t="shared" si="14"/>
        <v>0.04517765210194912</v>
      </c>
      <c r="G46" s="36">
        <f t="shared" si="14"/>
        <v>0.04756674561172211</v>
      </c>
      <c r="H46" s="36">
        <f t="shared" si="14"/>
        <v>0.03722235008015235</v>
      </c>
      <c r="I46" s="36">
        <f t="shared" si="14"/>
        <v>0.05070669343687066</v>
      </c>
      <c r="J46" s="36">
        <f t="shared" si="14"/>
        <v>0.04672629770834521</v>
      </c>
      <c r="K46" s="36">
        <f t="shared" si="14"/>
        <v>0.04493879750277382</v>
      </c>
      <c r="L46" s="36">
        <f t="shared" si="14"/>
        <v>0.04522142008821329</v>
      </c>
      <c r="M46" s="36">
        <f t="shared" si="14"/>
        <v>0.04532434694718893</v>
      </c>
      <c r="N46" s="36">
        <f t="shared" si="14"/>
        <v>0.042435776541640595</v>
      </c>
      <c r="O46" s="36">
        <f t="shared" si="14"/>
        <v>0.03868483588528859</v>
      </c>
      <c r="P46" s="36">
        <f t="shared" si="14"/>
        <v>0.03878637115266948</v>
      </c>
      <c r="Q46" s="25">
        <f>(Q23+Q14+Q15)/Q5</f>
        <v>0.012963130271790066</v>
      </c>
      <c r="R46" s="25">
        <f>(R23+R14+R15)/R5</f>
        <v>0.01230038236617184</v>
      </c>
      <c r="S46" s="25">
        <f>(S23+S14+S15)/S5</f>
        <v>0.011616366085459852</v>
      </c>
      <c r="T46" s="25">
        <f>(T23+T14+T15)/T5</f>
        <v>0.010934885718553928</v>
      </c>
      <c r="U46" s="25">
        <f>(U23+U14+U15)/U5</f>
        <v>0.005205679702048417</v>
      </c>
    </row>
    <row r="47" spans="1:21" s="21" customFormat="1" ht="14.25" hidden="1">
      <c r="A47" s="26"/>
      <c r="B47" s="29" t="s">
        <v>39</v>
      </c>
      <c r="C47" s="32">
        <f aca="true" t="shared" si="15" ref="C47:U47">(C9+C11-C13)/C5</f>
        <v>0.10587036352864813</v>
      </c>
      <c r="D47" s="36">
        <f t="shared" si="15"/>
        <v>0.12282289142900074</v>
      </c>
      <c r="E47" s="36">
        <f t="shared" si="15"/>
        <v>0.07411341185552499</v>
      </c>
      <c r="F47" s="36">
        <f t="shared" si="15"/>
        <v>0.026924397906543118</v>
      </c>
      <c r="G47" s="36">
        <f t="shared" si="15"/>
        <v>0.04232296033029898</v>
      </c>
      <c r="H47" s="36">
        <f t="shared" si="15"/>
        <v>0.077305587760126</v>
      </c>
      <c r="I47" s="36">
        <f t="shared" si="15"/>
        <v>0.08281609605700088</v>
      </c>
      <c r="J47" s="36">
        <f t="shared" si="15"/>
        <v>0.04623089130027598</v>
      </c>
      <c r="K47" s="36">
        <f t="shared" si="15"/>
        <v>0.06590553566403096</v>
      </c>
      <c r="L47" s="36">
        <f t="shared" si="15"/>
        <v>0.05438556884111222</v>
      </c>
      <c r="M47" s="36">
        <f t="shared" si="15"/>
        <v>0.05039133481852032</v>
      </c>
      <c r="N47" s="36">
        <f t="shared" si="15"/>
        <v>0.04643550138329982</v>
      </c>
      <c r="O47" s="36">
        <f t="shared" si="15"/>
        <v>0.05621139899222921</v>
      </c>
      <c r="P47" s="36">
        <f t="shared" si="15"/>
        <v>0.05962443336072595</v>
      </c>
      <c r="Q47" s="25">
        <f t="shared" si="15"/>
        <v>0.02909090909090909</v>
      </c>
      <c r="R47" s="25">
        <f t="shared" si="15"/>
        <v>0.029089818563502776</v>
      </c>
      <c r="S47" s="25">
        <f t="shared" si="15"/>
        <v>0.029035396243358526</v>
      </c>
      <c r="T47" s="25">
        <f t="shared" si="15"/>
        <v>0.028981177173588286</v>
      </c>
      <c r="U47" s="25">
        <f t="shared" si="15"/>
        <v>0.02376163873370577</v>
      </c>
    </row>
    <row r="48" spans="1:21" s="21" customFormat="1" ht="14.25" hidden="1">
      <c r="A48" s="26"/>
      <c r="B48" s="29" t="s">
        <v>40</v>
      </c>
      <c r="C48" s="30"/>
      <c r="D48" s="36"/>
      <c r="E48" s="36"/>
      <c r="F48" s="36">
        <f>(C47+D47+E47)/3</f>
        <v>0.10093555560439128</v>
      </c>
      <c r="G48" s="36">
        <f>(D47+E47+F47)/3</f>
        <v>0.07462023373035627</v>
      </c>
      <c r="H48" s="36">
        <f aca="true" t="shared" si="16" ref="H48:U48">(E47+F47+G47)/3</f>
        <v>0.04778692336412236</v>
      </c>
      <c r="I48" s="36">
        <f t="shared" si="16"/>
        <v>0.04885098199898937</v>
      </c>
      <c r="J48" s="36">
        <f t="shared" si="16"/>
        <v>0.06748154804914196</v>
      </c>
      <c r="K48" s="36">
        <f t="shared" si="16"/>
        <v>0.06878419170580095</v>
      </c>
      <c r="L48" s="36">
        <f t="shared" si="16"/>
        <v>0.06498417434043595</v>
      </c>
      <c r="M48" s="36">
        <f t="shared" si="16"/>
        <v>0.055507331935139716</v>
      </c>
      <c r="N48" s="36">
        <f t="shared" si="16"/>
        <v>0.05689414644122117</v>
      </c>
      <c r="O48" s="36">
        <f t="shared" si="16"/>
        <v>0.050404135014310784</v>
      </c>
      <c r="P48" s="36">
        <f t="shared" si="16"/>
        <v>0.05101274506468312</v>
      </c>
      <c r="Q48" s="25">
        <f t="shared" si="16"/>
        <v>0.054090444578751666</v>
      </c>
      <c r="R48" s="25">
        <f t="shared" si="16"/>
        <v>0.048308913814621414</v>
      </c>
      <c r="S48" s="25">
        <f t="shared" si="16"/>
        <v>0.03926838700504594</v>
      </c>
      <c r="T48" s="25">
        <f t="shared" si="16"/>
        <v>0.029072041299256796</v>
      </c>
      <c r="U48" s="25">
        <f t="shared" si="16"/>
        <v>0.029035463993483196</v>
      </c>
    </row>
    <row r="49" spans="1:21" s="21" customFormat="1" ht="14.25" hidden="1">
      <c r="A49" s="26"/>
      <c r="B49" s="29"/>
      <c r="C49" s="30">
        <f aca="true" t="shared" si="17" ref="C49:U49">C9-C13</f>
        <v>2346130.719999999</v>
      </c>
      <c r="D49" s="30">
        <f t="shared" si="17"/>
        <v>2293621</v>
      </c>
      <c r="E49" s="30">
        <f t="shared" si="17"/>
        <v>735815.7800000012</v>
      </c>
      <c r="F49" s="30">
        <f t="shared" si="17"/>
        <v>-1537003</v>
      </c>
      <c r="G49" s="30">
        <f t="shared" si="17"/>
        <v>15806</v>
      </c>
      <c r="H49" s="30">
        <f t="shared" si="17"/>
        <v>1813864</v>
      </c>
      <c r="I49" s="30">
        <f t="shared" si="17"/>
        <v>1537146</v>
      </c>
      <c r="J49" s="30">
        <f t="shared" si="17"/>
        <v>280287</v>
      </c>
      <c r="K49" s="30">
        <f t="shared" si="17"/>
        <v>1114448</v>
      </c>
      <c r="L49" s="30">
        <f t="shared" si="17"/>
        <v>175428</v>
      </c>
      <c r="M49" s="30">
        <f t="shared" si="17"/>
        <v>430894</v>
      </c>
      <c r="N49" s="30">
        <f t="shared" si="17"/>
        <v>789428</v>
      </c>
      <c r="O49" s="30">
        <f t="shared" si="17"/>
        <v>1081062</v>
      </c>
      <c r="P49" s="30">
        <f t="shared" si="17"/>
        <v>1287135</v>
      </c>
      <c r="Q49" s="21">
        <f t="shared" si="17"/>
        <v>552000</v>
      </c>
      <c r="R49" s="21">
        <f t="shared" si="17"/>
        <v>552000</v>
      </c>
      <c r="S49" s="21">
        <f t="shared" si="17"/>
        <v>552000</v>
      </c>
      <c r="T49" s="21">
        <f t="shared" si="17"/>
        <v>552000</v>
      </c>
      <c r="U49" s="21">
        <f t="shared" si="17"/>
        <v>276000</v>
      </c>
    </row>
  </sheetData>
  <sheetProtection/>
  <mergeCells count="3">
    <mergeCell ref="A1:P2"/>
    <mergeCell ref="C3:E3"/>
    <mergeCell ref="G3:U3"/>
  </mergeCells>
  <conditionalFormatting sqref="F36:U36">
    <cfRule type="cellIs" priority="1" dxfId="0" operator="lessThanOrEqual" stopIfTrue="1">
      <formula>"$'kredyt na prefinansowanie 2010 r.'.$F$37"</formula>
    </cfRule>
  </conditionalFormatting>
  <printOptions/>
  <pageMargins left="0.3937007874015748" right="0.3937007874015748" top="0.7874015748031497" bottom="0.9448818897637796" header="0.5118110236220472" footer="0.7874015748031497"/>
  <pageSetup fitToHeight="2" horizontalDpi="300" verticalDpi="300" orientation="landscape" paperSize="9" scale="58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</cp:lastModifiedBy>
  <cp:lastPrinted>2010-11-27T14:53:56Z</cp:lastPrinted>
  <dcterms:modified xsi:type="dcterms:W3CDTF">2010-12-01T14:56:01Z</dcterms:modified>
  <cp:category/>
  <cp:version/>
  <cp:contentType/>
  <cp:contentStatus/>
</cp:coreProperties>
</file>