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405" firstSheet="8" activeTab="9"/>
  </bookViews>
  <sheets>
    <sheet name="Dochody zał.Nr 1" sheetId="1" r:id="rId1"/>
    <sheet name="Wydatki zał.Nr 2" sheetId="2" r:id="rId2"/>
    <sheet name="Dotacje Zał.Nr 3" sheetId="3" r:id="rId3"/>
    <sheet name="PRZROZ zał.Nr4" sheetId="4" r:id="rId4"/>
    <sheet name="Prognoza długu do zał.Nr4" sheetId="5" r:id="rId5"/>
    <sheet name="DO zał.Nr5" sheetId="6" r:id="rId6"/>
    <sheet name="GFOŚ zał.Nr6" sheetId="7" r:id="rId7"/>
    <sheet name="Środki specjalne zał Nr 7" sheetId="8" r:id="rId8"/>
    <sheet name="ZUK plan zał.Nr 8" sheetId="9" r:id="rId9"/>
    <sheet name="inw.wieloletnie zał.nr 9" sheetId="10" r:id="rId10"/>
  </sheets>
  <definedNames>
    <definedName name="_xlnm.Print_Area" localSheetId="0">'Dochody zał.Nr 1'!$A:$IV</definedName>
    <definedName name="_xlnm.Print_Titles" localSheetId="0">'Dochody zał.Nr 1'!$3:$5</definedName>
    <definedName name="_xlnm.Print_Titles" localSheetId="2">'Dotacje Zał.Nr 3'!$5:$7</definedName>
    <definedName name="_xlnm.Print_Titles" localSheetId="1">'Wydatki zał.Nr 2'!$2:$4</definedName>
  </definedNames>
  <calcPr fullCalcOnLoad="1"/>
</workbook>
</file>

<file path=xl/sharedStrings.xml><?xml version="1.0" encoding="utf-8"?>
<sst xmlns="http://schemas.openxmlformats.org/spreadsheetml/2006/main" count="964" uniqueCount="502">
  <si>
    <t>Nagrody i wydatki osobowe nie zaliczone do wynagrodzeń</t>
  </si>
  <si>
    <t>Wydatki inwestycyjne jednostek budżetowych</t>
  </si>
  <si>
    <t>Składki na ubezpieczenie społeczne</t>
  </si>
  <si>
    <t>Zakup materiałów i wyposażenia</t>
  </si>
  <si>
    <t>Wydatki na zakupy inwestycyjne jednostek budżetowych</t>
  </si>
  <si>
    <t xml:space="preserve">Zakup usług remontowych </t>
  </si>
  <si>
    <t>Wynagrodzenia agencyjno-prowizyjne</t>
  </si>
  <si>
    <t>Świadczenia społeczne</t>
  </si>
  <si>
    <t>Składka na Fundusz Pracy</t>
  </si>
  <si>
    <t>Usługi opiekuńcze i specjalistyczne usługi opiekuńcze</t>
  </si>
  <si>
    <t>Rezerwy ogólne i celowe</t>
  </si>
  <si>
    <t>Rezerwy</t>
  </si>
  <si>
    <t>Pomoce naukowe i dydaktyczne, książki</t>
  </si>
  <si>
    <t>Wpływy z innych lokalnych opłat pobieranych przez jednostki samorządu terytorialnego na podstawie odrębnych ustaw</t>
  </si>
  <si>
    <t>Podatek od czynności cywilnoprawnych</t>
  </si>
  <si>
    <t>Wyszczególnienie</t>
  </si>
  <si>
    <t>Plan przychodów</t>
  </si>
  <si>
    <t>Plan rozchodów</t>
  </si>
  <si>
    <t>Nadwyżka z lat ubiegłych</t>
  </si>
  <si>
    <t xml:space="preserve">Koszty delegacji </t>
  </si>
  <si>
    <t>Zakup energii w strażnicach OSP oraz gazu w strażnicy w Kaźmierzu i Kopaninie</t>
  </si>
  <si>
    <t>Badania i opłaty, przeglądy i badania techniczne pojazdów, badania okresowe kierowców i strażaków</t>
  </si>
  <si>
    <t>ubezpieczenia  AC, OC, NW pojazdów i NW strażaków</t>
  </si>
  <si>
    <t>Ogłoszenia o przetargach, wycena nieruchomości, podziały nieruchomości, opłaty sądowe za założenie księgi wieczystej i za wypis prawa własności, mapy, wyciągi, odtworzenie granic, koszty komunalizacyjne</t>
  </si>
  <si>
    <t>Wynagrodzenie inkasentów</t>
  </si>
  <si>
    <t>Zakup druków</t>
  </si>
  <si>
    <t>Koszty delegacji służbowych nauczycieli</t>
  </si>
  <si>
    <t>Dodatki mieszkaniowe, dodatki wiejskie, środki Bhp dla nauczycieli i pracowników oświaty</t>
  </si>
  <si>
    <t>Koszty delegacji nauczycieli</t>
  </si>
  <si>
    <t>Książki, pomoce dydaktyczne, programy komputerowe</t>
  </si>
  <si>
    <t>Opłaty RTV, opłaty za telefon, serwis sieci komputerowej</t>
  </si>
  <si>
    <t>Wynagrodzenia dla opiekunów dzieci w czasie dowożenia</t>
  </si>
  <si>
    <t>Usługa dowożenia dzieci do szkół</t>
  </si>
  <si>
    <t>Świadczenia rzeczowe dotyczące Bhp</t>
  </si>
  <si>
    <t>Serwis sieci komputerowej</t>
  </si>
  <si>
    <t>Koszty delegacji pracowników GZO</t>
  </si>
  <si>
    <t>Pomoce dydaktyczne, książki, wyposażenie kącików tematycznych</t>
  </si>
  <si>
    <t>Podstawa naliczenia dodatków: ustawa o dodatkach mieszkaniowych z dnia 21.06.2001r (Dz.U.Nr 71, poz.734) i Rozp.RM z dnia 28.12.2001 (Dz.U.Nr 156, poz.1817)</t>
  </si>
  <si>
    <t>Plan wydatków na wieloletnie programy inwestycyjne</t>
  </si>
  <si>
    <t>2004-2006</t>
  </si>
  <si>
    <t>Koszty ubezpieczeń i innych opłat</t>
  </si>
  <si>
    <t>Środki na pozostałą działalność sportową prowadzoną na terenie gminy</t>
  </si>
  <si>
    <t>Energia i woda w obiektach sportowo-rekreacyjnych</t>
  </si>
  <si>
    <t>Materiały melioracyjne</t>
  </si>
  <si>
    <t>Spłaty otrzymanych krajowych pożyczek i kredytów</t>
  </si>
  <si>
    <t xml:space="preserve">Urzędy naczelnych organów władzy państwowej, kontroli i ochrony prawa </t>
  </si>
  <si>
    <t>Dział</t>
  </si>
  <si>
    <t>Dochody od osób prawnych, od osób fizycznych i od innych jednostek nieposiadających osobowości prawnej oraz wydatki związane z ich poborem</t>
  </si>
  <si>
    <t>Wpływ z podatku rolnego, podatku leśnego, podatku od czynności cywilnoprawnych, podatków i opłat lokalnych od osób prawnych i innych jednostek organizacyjnych</t>
  </si>
  <si>
    <t>Wpływ z podatku rolnego, podatku leśnego, podatku od czynności cywilnoprawnych, podatku od spadków i darowizn, podatku od czynności cywilnoprawnych oraz podatków i opłat lokalnych od osób fizycznych</t>
  </si>
  <si>
    <t>Zespoły obsługi ekonomiczno-administracyjnej szkół</t>
  </si>
  <si>
    <t>Dotacje celowe otrzymane z budżetu państwa na realizację inwestycji i zakupów inwestycyjnych własnych gmin</t>
  </si>
  <si>
    <t>Wpłaty z tytułu odpłatnego nabycia prawa własności oraz prawa użytkowania wieczystego nieruchomości</t>
  </si>
  <si>
    <t>Dożywianie uczniów w szkołach</t>
  </si>
  <si>
    <t>Artykuły biurowe, książki i czasopisma fachowe, szafa biurowa, zakup drukarki</t>
  </si>
  <si>
    <t>Wynagrodzenia bezosobowe</t>
  </si>
  <si>
    <t>Gospodarz obiektu sportowego w K-rzu i Bytyniu, obsługa strzelnicy LOK - umowy zlecenie</t>
  </si>
  <si>
    <t>Monitorowanie obiektu , utrzymanie płyty boiska w Kaźmierzu, usługi komunalne, pozostałe usługi</t>
  </si>
  <si>
    <t>Trener, instruktorzy siatkówki, koszykówki - umowa zlecenie</t>
  </si>
  <si>
    <t>Radca prawny, informatyk - umowy zlecenie</t>
  </si>
  <si>
    <t>Opłaty pocztowe, telefoniczne, czynsz lokalowy, koszty i prowizje bankowe, dokształcanie pracowników.</t>
  </si>
  <si>
    <t>Energia, woda, gaz, dostawa energii cieplnej</t>
  </si>
  <si>
    <t>Koszty postępowania sądowego i prokuratorskiego</t>
  </si>
  <si>
    <t>Wynagrodzenie bezosobowe</t>
  </si>
  <si>
    <t xml:space="preserve">Umowa zlecenie z pracownikiem obsługującym toalety publiczne </t>
  </si>
  <si>
    <t>WYDATKI</t>
  </si>
  <si>
    <t>Zmiana warunków umowy kredytowej Nr 10/KB/U/2000</t>
  </si>
  <si>
    <t>Prognoza na rok 2007</t>
  </si>
  <si>
    <t>Prognoza na rok 2008</t>
  </si>
  <si>
    <t>Prognoza na rok 2009</t>
  </si>
  <si>
    <t>Prognoza na rok 2010</t>
  </si>
  <si>
    <t>Prognoza na rok 2011</t>
  </si>
  <si>
    <t>Prognoza na rok 2012</t>
  </si>
  <si>
    <t>Prognoza na rok 2013</t>
  </si>
  <si>
    <t>Dofinansowanie projektu w ramach Priorytetu 3 z środków ZPORR</t>
  </si>
  <si>
    <t>Dofinansowanie projektu w ramach Priorytetu 3 z środków budżetu Państwa</t>
  </si>
  <si>
    <r>
      <t xml:space="preserve">Budowa sieci wodociągowych:Gaj Wielki-Młodasko-Bytyń </t>
    </r>
    <r>
      <rPr>
        <b/>
        <sz val="10"/>
        <rFont val="Times New Roman CE"/>
        <family val="0"/>
      </rPr>
      <t>100.000,00</t>
    </r>
    <r>
      <rPr>
        <sz val="10"/>
        <rFont val="Times New Roman CE"/>
        <family val="1"/>
      </rPr>
      <t xml:space="preserve">, Pólko obręb Wierzchaczewo </t>
    </r>
    <r>
      <rPr>
        <b/>
        <sz val="10"/>
        <rFont val="Times New Roman CE"/>
        <family val="0"/>
      </rPr>
      <t>8.000,00</t>
    </r>
    <r>
      <rPr>
        <sz val="10"/>
        <rFont val="Times New Roman CE"/>
        <family val="1"/>
      </rPr>
      <t xml:space="preserve">, K-rz ul.Polna-Reja </t>
    </r>
    <r>
      <rPr>
        <b/>
        <sz val="10"/>
        <rFont val="Times New Roman CE"/>
        <family val="0"/>
      </rPr>
      <t>101.000,00</t>
    </r>
    <r>
      <rPr>
        <sz val="10"/>
        <rFont val="Times New Roman CE"/>
        <family val="1"/>
      </rPr>
      <t xml:space="preserve">, K-rz ul.Szkolna </t>
    </r>
    <r>
      <rPr>
        <b/>
        <sz val="10"/>
        <rFont val="Times New Roman CE"/>
        <family val="0"/>
      </rPr>
      <t>121.000,00</t>
    </r>
    <r>
      <rPr>
        <sz val="10"/>
        <rFont val="Times New Roman CE"/>
        <family val="1"/>
      </rPr>
      <t xml:space="preserve">, Młodasko </t>
    </r>
    <r>
      <rPr>
        <b/>
        <sz val="10"/>
        <rFont val="Times New Roman CE"/>
        <family val="0"/>
      </rPr>
      <t>83.440,00</t>
    </r>
    <r>
      <rPr>
        <sz val="10"/>
        <rFont val="Times New Roman CE"/>
        <family val="1"/>
      </rPr>
      <t xml:space="preserve">, Radzyny </t>
    </r>
    <r>
      <rPr>
        <b/>
        <sz val="10"/>
        <rFont val="Times New Roman CE"/>
        <family val="0"/>
      </rPr>
      <t>8.000,00,</t>
    </r>
    <r>
      <rPr>
        <sz val="10"/>
        <rFont val="Times New Roman CE"/>
        <family val="1"/>
      </rPr>
      <t xml:space="preserve"> SUW Gaj Wielki </t>
    </r>
    <r>
      <rPr>
        <b/>
        <sz val="10"/>
        <rFont val="Times New Roman CE"/>
        <family val="0"/>
      </rPr>
      <t>80.000,00</t>
    </r>
  </si>
  <si>
    <r>
      <t xml:space="preserve">Budowa chodnika w Kaźmierzu ul.Szkolna </t>
    </r>
    <r>
      <rPr>
        <b/>
        <sz val="10"/>
        <rFont val="Times New Roman CE"/>
        <family val="0"/>
      </rPr>
      <t>45.000,00</t>
    </r>
  </si>
  <si>
    <t xml:space="preserve">Pomoc finansowa Gminy Kaźmierz dla Szpitala Powiatowego w Szamotułach na zakup tomografu komputerowego </t>
  </si>
  <si>
    <t xml:space="preserve">Wynagrodzenia pracowników UG i bezrobotnych, nagrody jubileuszowe, odprawy emerytalne </t>
  </si>
  <si>
    <t xml:space="preserve">Delegacje w tym ryczałty samochodowe </t>
  </si>
  <si>
    <t>Zakup sprzętu komuterowego dla 9 stanowisk 34.000,00, drukarka laserowa 7.000,00, skaner lub urządzenie wielofunkcyjne 4.000,00, monitory LCD 18.300,00, utworzenie środowiska systemu obiegu dokumentów 36.700,00 (serwer+system operacyjny)</t>
  </si>
  <si>
    <t>Dotacja celowa z budżetu na finansowanie lub dofinansowanie kosztów realizacji inwestycji i zakupów inwestycyjnych jednostek niezaliczanych do sektora finansów publicznych</t>
  </si>
  <si>
    <t>Opłaty komornicze</t>
  </si>
  <si>
    <t>Wynagrodzenia osobowe, w tym odprawy emerytalne</t>
  </si>
  <si>
    <t>Materiały biurowe, środki czystości, wyposażenie (meble, wykładziny), olej opałowy , węgiel, zakup mebli do kuchni w SP w Bytyniu</t>
  </si>
  <si>
    <r>
      <t>Energia, woda, gaz CO</t>
    </r>
    <r>
      <rPr>
        <b/>
        <sz val="10"/>
        <rFont val="Times New Roman CE"/>
        <family val="1"/>
      </rPr>
      <t xml:space="preserve"> </t>
    </r>
  </si>
  <si>
    <t>Drobne remonty w szkołach podstawowych</t>
  </si>
  <si>
    <t xml:space="preserve">Materiały biurowe, środki czystości, wyposażenie </t>
  </si>
  <si>
    <t>Zakup pojemników do selektywnej zbiórki odpadów 10.000,00, utrzymanie bezpańskich psów 10.000,00, materiałów bieżącego utrzymania toalet publicznych 5.000,00</t>
  </si>
  <si>
    <t>Inne usługi związane z utrzymaniem toalet publicznych</t>
  </si>
  <si>
    <t>4. Prognozowana kwota długu na dzień 31.12.2007r. (poz.1+2-3a)</t>
  </si>
  <si>
    <t xml:space="preserve">    stosunku doplanowanych dochodów gminy na 2007r. (poz.3/poz.5)</t>
  </si>
  <si>
    <t>4. Prognozowana kwota długu na dzień 31.12.2008r. (poz.1+2-3a)</t>
  </si>
  <si>
    <t>5. Planowane dochody budżetu gminy na 2007r.</t>
  </si>
  <si>
    <t>5. Planowane dochody budżetu gminy na 2008r.</t>
  </si>
  <si>
    <t>0400</t>
  </si>
  <si>
    <t>Wpływy z opłaty produktowej</t>
  </si>
  <si>
    <t xml:space="preserve">Plan dochodów budżetowych na 2005r.        PROJEKT                 </t>
  </si>
  <si>
    <t>Dochody jednostek samorządu terytorialnego związane z realizacją zadań z zakresu administracji rządowej oraz innych zadań zleconych ustawami</t>
  </si>
  <si>
    <t xml:space="preserve">    stosunku doplanowanych dochodów gminy na 2008r. (poz.3/poz.5)</t>
  </si>
  <si>
    <t>4. Prognozowana kwota długu na dzień 31.12.2009r. (poz.1+2-3a)</t>
  </si>
  <si>
    <t>5. Planowane dochody budżetu gminy na 2009r.</t>
  </si>
  <si>
    <t xml:space="preserve">    stosunku doplanowanych dochodów gminy na 2009r. (poz.3/poz.5)</t>
  </si>
  <si>
    <t>4. Prognozowana kwota długu na dzień 31.12.2010r. (poz.1+2-3a)</t>
  </si>
  <si>
    <t>5. Planowane dochody budżetu gminy na 2010r.</t>
  </si>
  <si>
    <t xml:space="preserve">    stosunku doplanowanych dochodów gminy na 2010r. (poz.3/poz.5)</t>
  </si>
  <si>
    <t>4. Prognozowana kwota długu na dzień 31.12.2011r. (poz.1+2-3a)</t>
  </si>
  <si>
    <t>Wydatki na pomoc finansową udzielaną między jednostkami samorządu terytorialnego na dofinansowanie własnych zadań bieżących</t>
  </si>
  <si>
    <t xml:space="preserve">    stosunku doplanowanych dochodów gminy na 2011r. (poz.3/poz.5)</t>
  </si>
  <si>
    <t>4. Prognozowana kwota długu na dzień 31.12.2012r. (poz.1+2-3a)</t>
  </si>
  <si>
    <t>5. Planowane dochody budżetu gminy na 2012r.</t>
  </si>
  <si>
    <t xml:space="preserve">    stosunku doplanowanych dochodów gminy na 2012r. (poz.3/poz.5)</t>
  </si>
  <si>
    <t>4. Prognozowana kwota długu na dzień 31.12.2013r. (poz.1+2-3a)</t>
  </si>
  <si>
    <t>5. Planowane dochody budżetu gminy na 2013r.</t>
  </si>
  <si>
    <t xml:space="preserve">    stosunku doplanowanych dochodów gminy na 2013r. (poz.3/poz.5)</t>
  </si>
  <si>
    <t>DOCHODY</t>
  </si>
  <si>
    <t>Wpływy z opłaty administracyjnej za czynności urzędowe</t>
  </si>
  <si>
    <t>Wpływy z różnych opłat</t>
  </si>
  <si>
    <t>Część wyrównawcza subwencji ogólnej dla gmin</t>
  </si>
  <si>
    <t>Urzędy naczelnych organów władzy państwowej, kontroli i ochrony prawa</t>
  </si>
  <si>
    <t>Przychodyz zaciągniętych pożyczek i kredytów na rynku krajowym</t>
  </si>
  <si>
    <t>Zmiany</t>
  </si>
  <si>
    <t>Urzędy naczelnych organów władzy państwowej, kontroli i ochrony prawa oraz sądownictwa</t>
  </si>
  <si>
    <t>Plana przychodów po zmianach</t>
  </si>
  <si>
    <t>Plana rozchodów po zmianach</t>
  </si>
  <si>
    <t>Rozdz.75011</t>
  </si>
  <si>
    <t xml:space="preserve">DOCHODY ZWIĄZANE Z REALIZACJĄ ZADAŃ Z ZAKRESU </t>
  </si>
  <si>
    <t>Pismo Wojewody Wielkopolskiego z dnia 21.10.2004r., znak FB.I-3.3010-28/04</t>
  </si>
  <si>
    <t>Dotacja na prowadzenie stałego rejestru wyborców w 2005r. Pismo Krajowego Biura Wyborczego Delegatura w Pile z dnia 22.10.2004r, znak DPL 0301-8/04</t>
  </si>
  <si>
    <r>
      <t>SP Kaźmierz</t>
    </r>
    <r>
      <rPr>
        <sz val="10"/>
        <rFont val="Times New Roman CE"/>
        <family val="1"/>
      </rPr>
      <t>- dalszy etap wymiany okien, przebudowa kuchni, budowa zasieku</t>
    </r>
  </si>
  <si>
    <t>Zakup 4 komputerów dla SP Sokolniki Wielkie</t>
  </si>
  <si>
    <t>Wynagrodzenia osobowe, w tym odprawy emerytalne 24.300,00</t>
  </si>
  <si>
    <t>Artykuły biurowe, środki czystości, wyposażenie</t>
  </si>
  <si>
    <t>Modernizacja kuchni, malowanie sal, wymiana kaloryferów</t>
  </si>
  <si>
    <r>
      <t xml:space="preserve">Opłaty RTV, opłaty za telefon, usługi komunalne, pralnie, </t>
    </r>
    <r>
      <rPr>
        <sz val="10"/>
        <rFont val="Times New Roman CE"/>
        <family val="1"/>
      </rPr>
      <t xml:space="preserve"> prowizje bankowe</t>
    </r>
  </si>
  <si>
    <t>Wynagrodzenia osobowe</t>
  </si>
  <si>
    <t>Prowizje bankowe, doskonalenie zawodowe, pozostałe usługi, aktualizacje SIGID</t>
  </si>
  <si>
    <t>FŚS dla emerytowanych nauczycieli i pracowników oświaty (36 osób x 798,00)</t>
  </si>
  <si>
    <t>1,5 etatu x 1.000,00 zł</t>
  </si>
  <si>
    <t>Środki Bhp dla 7 pracowników, ekwiwalent za pranie</t>
  </si>
  <si>
    <t>Artykuły biurowe, czasopisma fachowe, środki bieżącego urtrzymania ośrodka</t>
  </si>
  <si>
    <t>Energia, woda, CO</t>
  </si>
  <si>
    <t>Naprawa i konserwacja sprzętu</t>
  </si>
  <si>
    <t>Delegacje pracowników i ryczałty samochodowe</t>
  </si>
  <si>
    <t>Ubezpieczenie sprzętu elektronicznego</t>
  </si>
  <si>
    <t>Zakup żarówek, opraw oświetleniowych, czujników</t>
  </si>
  <si>
    <t>Gaz i energia w toaletach</t>
  </si>
  <si>
    <t xml:space="preserve">Sędziowie turniejów sportowych </t>
  </si>
  <si>
    <t xml:space="preserve">Zakup broni sportowej, śrutu i tarcz, zakup materiałów bieżącego utrzymania oraz materiałów na organizację imprez plenerowo-sportowych, zakup sprzętu sportowego , zakup trawy, nawozów </t>
  </si>
  <si>
    <t>Ubezpieczenia gminnych obiektów sportowych i imprez masowych</t>
  </si>
  <si>
    <t>Plan zagospodarowania przestrzennego Kaźmierz ul.Leśna-Czereśniowa, ul.Szmotulska-Polna, Bytyń przy drodze do Pierska, ul.Leśna Zbiornik</t>
  </si>
  <si>
    <t>Prognoza długu Gminy Kaźmierz na lata 2005 - 2015</t>
  </si>
  <si>
    <t>Świadczenia rodzinne oraz składki na ubezpieczenia emerytalne i rentowe z ubezpieczenia społecznego</t>
  </si>
  <si>
    <t xml:space="preserve"> JEDNOSTCE SAMORZĄDU TERYTORIALNEGO USTAWAMI</t>
  </si>
  <si>
    <t>ADMINISTRACJI RZĄDOWEJ ORAZ INNYCH ZADAŃ ZLECONYCH</t>
  </si>
  <si>
    <t xml:space="preserve">Powyższe środki pobrane przez jednostkę samorządu terytorialnego odprowadza się na rachunek </t>
  </si>
  <si>
    <t>Dz.      750</t>
  </si>
  <si>
    <t>Składka na ubezpieczenia społeczne</t>
  </si>
  <si>
    <t>Składka na ubezpieczenie zdrowotne</t>
  </si>
  <si>
    <t>01030</t>
  </si>
  <si>
    <t>Izby rolnicze</t>
  </si>
  <si>
    <t xml:space="preserve">Różne jednostki obsługi gospodarki mieszkaniowej </t>
  </si>
  <si>
    <t>Wpływy z innych opłat stanowiących dochody jednostek samorządu terytorialnego na podstawie ustaw</t>
  </si>
  <si>
    <t>Sieć wodociągowa Radzyny</t>
  </si>
  <si>
    <t>Bieżąca obsługa oświetlenia ulicznego, wykonanie projektów oświetlenia na terenie gminy ( deptak rej.ul.Szamotulskiej i rej.ul.Nowowiejskiej, krzyżówka w Witkowicach przy trasie A2)</t>
  </si>
  <si>
    <t>Budowa gimnazjum z salą gimnastyczną w Kaźmierzu środki własne</t>
  </si>
  <si>
    <t>Budowa gimnazjum z salą gimnastyczną w Kaźmierzu ZPORR, budżet państwa</t>
  </si>
  <si>
    <t>Budowa sieci gazowej w Młodasku</t>
  </si>
  <si>
    <t>PRZYCHODY I ROZCHODY 2005r.</t>
  </si>
  <si>
    <t>WYDATKI GMINY KAŹMIERZ W 2005r.</t>
  </si>
  <si>
    <t>Zał.Nr 2 do  Projektu Uchwały Budżetowej na 2005r</t>
  </si>
  <si>
    <t>Zał.Nr 1 do  Projektu Uchwały Budżetowej na 2005r</t>
  </si>
  <si>
    <t>Dochody z najmu i dzierżawy składników majątkowych Skarbu Państwa, jednostek samorządu terytorialnego lub innych jednostek zaliczanych do sektora finansów publicznych oraz innych umów o podobnym charakterze</t>
  </si>
  <si>
    <t xml:space="preserve">Przedszkola </t>
  </si>
  <si>
    <t>Dotacja podmiotowa z budżetu dla instytucji kultury</t>
  </si>
  <si>
    <t>Plan wydatków budżetowych na 2005r.                   PROJEKT</t>
  </si>
  <si>
    <t>01022</t>
  </si>
  <si>
    <t>Zwalczanie chorób zakaźnych zwierząt oraz badania monitoringowe pozostałości chemicznych i biologicznych w tkankach zwierząt i produktach pochodzenia zwierzęcego</t>
  </si>
  <si>
    <t>Wytwarzanie i zaopatrywanie w energię elektryczną, gaz i wodę</t>
  </si>
  <si>
    <t>Dostarczanie wody</t>
  </si>
  <si>
    <t>Gospodarka ściekowa i ochrona wód</t>
  </si>
  <si>
    <t>Wpływy z podatku dochodowego od osób fizycznych</t>
  </si>
  <si>
    <t>Różne rozliczenia finansowe</t>
  </si>
  <si>
    <t>Wpłaty gmin na rzecz izb rolniczych w wysokości 2% uzyskanych wpływów z podatku rolnego</t>
  </si>
  <si>
    <t>Działalność usługowa</t>
  </si>
  <si>
    <t>Plany zagospodarowania przestrzennego</t>
  </si>
  <si>
    <t>Opracowania geodezyjne i kartograficzne</t>
  </si>
  <si>
    <t>Realizacja zadań rządowych zleconych gminom</t>
  </si>
  <si>
    <t>Ustawa o finansach publicznych Art..116 ust.4 rezerwa ogólna nie może być wyższa niż 1% wydatków budżetu</t>
  </si>
  <si>
    <t>Składki na ubezpieczenie zdrowotne opłacane za osoby pobierające niektóre świadczenia z pomocy społecznej</t>
  </si>
  <si>
    <t>Zał.nr 5</t>
  </si>
  <si>
    <t>PRZYCHODY I WYDATKI ŚRODKÓW SPECJALNYCH</t>
  </si>
  <si>
    <t>PRZYCHODY</t>
  </si>
  <si>
    <t>Wpływy z różnych dochodów</t>
  </si>
  <si>
    <t>Wpływy ze sprzedaży wyrobów i składników majątkowych</t>
  </si>
  <si>
    <t>Otrzymane spadki, zapisy i darowizny w postaci pieniężnej</t>
  </si>
  <si>
    <t>Odsetki i dyskonto od krajowych skarbowych papierów wartościowych oraz pożyczek i kredytów</t>
  </si>
  <si>
    <t>Dotacja przedmiotowa dla ZUK w Kaźmierzu, zgodnie z Uchwałą Nr XVIII/121/04 Rady Gminy Kaźmierz z dn.05.03.2004r.</t>
  </si>
  <si>
    <t>Dotacje dla przedszkoli niepublicznychzgodnie z Uchwałą Nr XVIII/119/04 Rady Gminy Kaźmierz z dn.05.03.2004r.</t>
  </si>
  <si>
    <t>Zakup środków żywności</t>
  </si>
  <si>
    <t>PRZYCHODY OGÓŁEM</t>
  </si>
  <si>
    <t>WYDATKI OGÓŁEM</t>
  </si>
  <si>
    <t>Opłata za prowadzenie rachunku bankowego</t>
  </si>
  <si>
    <t>Wpływy z opłat za żywienie, kapitalizacja odsetek bankowych, dobrowolne wpłaty.</t>
  </si>
  <si>
    <t>Fundusz Ochrony Środowiska i Gospodarki Wodnej</t>
  </si>
  <si>
    <t>Zakup artykułów spożywczych, wyposażenia kuchni, środków dydaktycznych w Szkołach Podstawowych w Kaźmierzu, Bytyniu i Gaju Wielkim</t>
  </si>
  <si>
    <t>Stypendia oraz inne formy pomocy dla uczniów</t>
  </si>
  <si>
    <t>Dotacje celowe przekazane z budżetu państwa na realizację własnych zadań bieżących gmin</t>
  </si>
  <si>
    <t>WUW w 100%</t>
  </si>
  <si>
    <t>Zał.Nr 3 do  Projektu Uchwały Budżetowej na 2005r</t>
  </si>
  <si>
    <t>Zał.Nr 5 do  Projektu Uchwały Budżetowej na 2005r</t>
  </si>
  <si>
    <t>NA 2005r.</t>
  </si>
  <si>
    <t>Plan przychodów i wydatków  Środków specjalnych na 2005r.</t>
  </si>
  <si>
    <t>Plan przychodów na 2005r.</t>
  </si>
  <si>
    <t>Plan wydatków na 2005r.</t>
  </si>
  <si>
    <t>Zał.Nr 7 do  Projektu Uchwały Budżetowej na 2005r</t>
  </si>
  <si>
    <t>Zał.Nr 6 do  Projektu Uchwały Budżetowej na 2005r</t>
  </si>
  <si>
    <t>Plan przychodów/wydatków w 2005r.</t>
  </si>
  <si>
    <t>Stan konta bankowego na 01.01.2005r.</t>
  </si>
  <si>
    <t>Kapitalizacja odsetek bankowych</t>
  </si>
  <si>
    <t>Wydatki związane z: akcją Sprzątanie Świata, realizacją Gminnego Programu Ochrony Środowiska i Planu Gospodarki Odpadami, ochroną kasztanowców, obchodami Dnia Ziemi, pozostałymi wydatkami związanymi z ochroną środowiska na terenie gminy</t>
  </si>
  <si>
    <t>Zał.Nr 8 do  Projektu Uchwały Budżetowej na 2005r</t>
  </si>
  <si>
    <t>Zał.Nr 9 do  Projektu Uchwały Budżetowej na 2005r</t>
  </si>
  <si>
    <t>1. Zadłużenie gminy Kaźmierz na 31.12.2004r.</t>
  </si>
  <si>
    <t>dot.WUW w 100%</t>
  </si>
  <si>
    <t>Źródła finansowania</t>
  </si>
  <si>
    <t>Lp.</t>
  </si>
  <si>
    <t>01095</t>
  </si>
  <si>
    <t>Zakup drzewek i palików</t>
  </si>
  <si>
    <t>Cięcie i wycinka drzew</t>
  </si>
  <si>
    <t>Melioracje wodne</t>
  </si>
  <si>
    <t>Realizacja zadań rządowych zleconych gminom z zakresu obrony cywilnej</t>
  </si>
  <si>
    <t xml:space="preserve">UG 100%, </t>
  </si>
  <si>
    <t xml:space="preserve">w tym dotacja </t>
  </si>
  <si>
    <t xml:space="preserve">Przychody </t>
  </si>
  <si>
    <t>Oświetlenie płyty Rynku + oświetlenie sołectw</t>
  </si>
  <si>
    <t>DOCHODY I WYDATKI NA ZADANIA ZLECONE GMINOM</t>
  </si>
  <si>
    <t>Wykonanie na 30.06.2004r.</t>
  </si>
  <si>
    <t>Zał.Nr 3</t>
  </si>
  <si>
    <t>Opłata za zajęcie pasa drogowego 3.621,20 , kapitalizacja odsetek 6,54</t>
  </si>
  <si>
    <t>Materiały remontowe na chodnik</t>
  </si>
  <si>
    <t xml:space="preserve">Wpływy z opłat za wyżywienie dzieci w Przedszkolu w Kaźmierzu </t>
  </si>
  <si>
    <t>Zakup artykułów spożywczych, wyposażenia kuchni w Przedszkolu w Kaźmierzu</t>
  </si>
  <si>
    <t>Plan przychodów/wydatków w 2004r.</t>
  </si>
  <si>
    <t>0840</t>
  </si>
  <si>
    <t>0960</t>
  </si>
  <si>
    <t xml:space="preserve">Stan konta bankowego </t>
  </si>
  <si>
    <t>0490</t>
  </si>
  <si>
    <t>0910</t>
  </si>
  <si>
    <t>0830</t>
  </si>
  <si>
    <t>0920</t>
  </si>
  <si>
    <t>0020</t>
  </si>
  <si>
    <t>0010</t>
  </si>
  <si>
    <t>0480</t>
  </si>
  <si>
    <t>0460</t>
  </si>
  <si>
    <t>0410</t>
  </si>
  <si>
    <t>0500</t>
  </si>
  <si>
    <t>0450</t>
  </si>
  <si>
    <t>0430</t>
  </si>
  <si>
    <t>0370</t>
  </si>
  <si>
    <t>0360</t>
  </si>
  <si>
    <t>0340</t>
  </si>
  <si>
    <t>0970</t>
  </si>
  <si>
    <t>0330</t>
  </si>
  <si>
    <t>0320</t>
  </si>
  <si>
    <t>0310</t>
  </si>
  <si>
    <t>0350</t>
  </si>
  <si>
    <t>0690</t>
  </si>
  <si>
    <t>0770</t>
  </si>
  <si>
    <t>0750</t>
  </si>
  <si>
    <t>0470</t>
  </si>
  <si>
    <t>Zadania w zakresie kultury fizycznej i sportu</t>
  </si>
  <si>
    <t>PLAN PRZYCHODÓW I WYDATKÓW ZAKŁADU USŁUG  KOMUNALNYCH W KAŹMIERZU</t>
  </si>
  <si>
    <t xml:space="preserve">Koszty usług telekomunikacyjnych, pocztowych, bankowych, ochrona obiektu, konserwacje sprzętu,szkolenia pracowników </t>
  </si>
  <si>
    <t>budżetu państwa, zgodnie z art.129 ust.2 Ustawy z dnia 26 listopada 1998r  o finansach publicznych</t>
  </si>
  <si>
    <t>PRZYCHODY I WYDATKI GMINNEGO FUNDUSZU OCHRONY ŚRODOWISKA I GOSPODARKI WODNEJ .</t>
  </si>
  <si>
    <t>Wpływy na rzecz funduszu pochodzące z opłat za gospodarcze korzystanie ze środowiska przez podmioty gospodarcze z terenu gminy</t>
  </si>
  <si>
    <t>Budowa gimnazjum wraz z salą gimnastyczną w Kaźmierzu</t>
  </si>
  <si>
    <t>Środki specjalne</t>
  </si>
  <si>
    <t>Środek specjalny Przedszkole Kaźmierz</t>
  </si>
  <si>
    <t>Środek specjalny SP Kaźmierz</t>
  </si>
  <si>
    <t>Środek specjalny SP Gaj Wielki</t>
  </si>
  <si>
    <t>Środek specjalny "Pas drogowy"</t>
  </si>
  <si>
    <t>Środek specjalny SP Bytyń</t>
  </si>
  <si>
    <t>Energia na oświetlenie uliczne</t>
  </si>
  <si>
    <t>Konserwacja oświetlenia ulicznego</t>
  </si>
  <si>
    <t>Dokształcanie i doskonalenie nauczycieli</t>
  </si>
  <si>
    <t>Podatek od posiadania psów</t>
  </si>
  <si>
    <r>
      <t>7.500</t>
    </r>
    <r>
      <rPr>
        <sz val="10"/>
        <rFont val="Times New Roman CE"/>
        <family val="1"/>
      </rPr>
      <t>,</t>
    </r>
    <r>
      <rPr>
        <b/>
        <sz val="10"/>
        <rFont val="Times New Roman CE"/>
        <family val="0"/>
      </rPr>
      <t>00</t>
    </r>
    <r>
      <rPr>
        <sz val="10"/>
        <rFont val="Times New Roman CE"/>
        <family val="1"/>
      </rPr>
      <t xml:space="preserve"> odsetki kredyt z GBW S.A.(kapitał do spłacenia w 2005r. 148.760,00), </t>
    </r>
    <r>
      <rPr>
        <b/>
        <sz val="10"/>
        <rFont val="Times New Roman CE"/>
        <family val="1"/>
      </rPr>
      <t>4.860,00</t>
    </r>
    <r>
      <rPr>
        <sz val="10"/>
        <rFont val="Times New Roman CE"/>
        <family val="1"/>
      </rPr>
      <t xml:space="preserve"> odsetki kredytowe na kan.Witkowice (kapitał do spłacenia w 2005r. 134.000,00), </t>
    </r>
    <r>
      <rPr>
        <b/>
        <sz val="10"/>
        <rFont val="Times New Roman CE"/>
        <family val="1"/>
      </rPr>
      <t>52.364,00</t>
    </r>
    <r>
      <rPr>
        <sz val="10"/>
        <rFont val="Times New Roman CE"/>
        <family val="1"/>
      </rPr>
      <t xml:space="preserve"> odsetki kredyt długoterminowy BS Duszniki (kapitał do spłacenia w 2005r. 102.564,12), </t>
    </r>
    <r>
      <rPr>
        <b/>
        <sz val="10"/>
        <rFont val="Times New Roman CE"/>
        <family val="1"/>
      </rPr>
      <t>2.500,00</t>
    </r>
    <r>
      <rPr>
        <sz val="10"/>
        <rFont val="Times New Roman CE"/>
        <family val="1"/>
      </rPr>
      <t xml:space="preserve"> odsetki pożyczka kanalizacja Bytyń, (kapitał do spłacenia w 2005r. </t>
    </r>
    <r>
      <rPr>
        <sz val="10"/>
        <rFont val="Times New Roman CE"/>
        <family val="0"/>
      </rPr>
      <t>22.000,00</t>
    </r>
    <r>
      <rPr>
        <b/>
        <sz val="10"/>
        <rFont val="Times New Roman CE"/>
        <family val="1"/>
      </rPr>
      <t xml:space="preserve">), 150.000,00 </t>
    </r>
    <r>
      <rPr>
        <sz val="10"/>
        <rFont val="Times New Roman CE"/>
        <family val="0"/>
      </rPr>
      <t>odsetki kredytów zaciągniętych w 2005r.</t>
    </r>
  </si>
  <si>
    <t>( Dz.U. z 2003r.Nr 15 poz.148, Nr 45, poz.391, Nr 65, poz.594, Nr 166, poz.161, Nr 189, poz.1851)</t>
  </si>
  <si>
    <t>Odpis w wysokości 2% należne izbom rolniczym art..35 ust.1 pkt1 ustawy z dnia 14.12.1995r. o izbach rolniczych (t.j. Dz.U. z 2002r. Nr101, poz 927 ze zm.)</t>
  </si>
  <si>
    <t>Obsługa długu publicznego</t>
  </si>
  <si>
    <t>Obsługa papierów wartościowych, kredytów i pożyczek jednostek samorządu terytorialnego</t>
  </si>
  <si>
    <t>§         235</t>
  </si>
  <si>
    <t>Działalność Gminnej Komisji Rozwiązywania Problemów Alkoholowych</t>
  </si>
  <si>
    <t>Wydatki</t>
  </si>
  <si>
    <t>Nazwa</t>
  </si>
  <si>
    <t>Gospodarka komunalna i ochrona srodowiska</t>
  </si>
  <si>
    <t>Środki własne</t>
  </si>
  <si>
    <t>5. Planowane dochody budżetu gminy na 2015r.</t>
  </si>
  <si>
    <t>5. Planowane dochody budżetu gminy na 2011r.</t>
  </si>
  <si>
    <t>Środki bezzwrotne z Unii Europejskiej</t>
  </si>
  <si>
    <t>Inne źródła</t>
  </si>
  <si>
    <r>
      <t>Wykup nieruchomości</t>
    </r>
    <r>
      <rPr>
        <b/>
        <sz val="10"/>
        <rFont val="Times New Roman CE"/>
        <family val="1"/>
      </rPr>
      <t xml:space="preserve"> </t>
    </r>
    <r>
      <rPr>
        <sz val="10"/>
        <rFont val="Times New Roman CE"/>
        <family val="1"/>
      </rPr>
      <t xml:space="preserve"> i dróg </t>
    </r>
    <r>
      <rPr>
        <sz val="10"/>
        <rFont val="Times New Roman CE"/>
        <family val="1"/>
      </rPr>
      <t xml:space="preserve"> oraz zakup tabliczek z nazwami ulic i numerami domów</t>
    </r>
  </si>
  <si>
    <r>
      <t>Energia</t>
    </r>
    <r>
      <rPr>
        <sz val="10"/>
        <rFont val="Times New Roman CE"/>
        <family val="1"/>
      </rPr>
      <t>, woda</t>
    </r>
    <r>
      <rPr>
        <sz val="10"/>
        <rFont val="Times New Roman CE"/>
        <family val="1"/>
      </rPr>
      <t>, gaz</t>
    </r>
  </si>
  <si>
    <t>Raty za wykup mieszkań i budynków 12.645,00, sprzedaż nieruchomości 200.000,00</t>
  </si>
  <si>
    <t>Diety za udział w akcjach. Koszt wynika z liczby wyjazdów x liczba strażaków x liczba godzin x 3,50zł</t>
  </si>
  <si>
    <t xml:space="preserve">Uzasadnienie </t>
  </si>
  <si>
    <t>2. Planowane w budżecie przychody z tyt.kredytów i pożyczek</t>
  </si>
  <si>
    <t>DOCHODY GMINY KAŹMIERZ W 2005r.</t>
  </si>
  <si>
    <t>3. Kwota przewidziana w budżecie na spłatę zadłużeń:</t>
  </si>
  <si>
    <t>a</t>
  </si>
  <si>
    <t>- raty kapitałowe</t>
  </si>
  <si>
    <t>b</t>
  </si>
  <si>
    <t>- odsetki</t>
  </si>
  <si>
    <t>6. Łączna kwota do spłaty rat kredytów i pożyczek wraz z odsetkami w</t>
  </si>
  <si>
    <t>7. Stosunek łącznej kwoty długu na koniec roku budżetowego do dochodów</t>
  </si>
  <si>
    <t xml:space="preserve">    gminy (poz.4/poz.5) w tym roku budżetowym wynosić będzie</t>
  </si>
  <si>
    <t>1. Zadłużenie gminy Kaźmierz na początek roku budżetowego</t>
  </si>
  <si>
    <t>4. Prognozowana kwota długu na dzień 31.12.2005r. (poz.1+2-3a)</t>
  </si>
  <si>
    <t>5. Planowane dochody budżetu gminy na 2005r.</t>
  </si>
  <si>
    <t xml:space="preserve">    stosunku doplanowanych dochodów gminy na 2005r. (poz.3/poz.5)</t>
  </si>
  <si>
    <t>Prognoza na rok 2006</t>
  </si>
  <si>
    <t>4. Prognozowana kwota długu na dzień 31.12.2006r. (poz.1+2-3a)</t>
  </si>
  <si>
    <t>5. Planowane dochody budżetu gminy na 2006r.</t>
  </si>
  <si>
    <t xml:space="preserve">    stosunku doplanowanych dochodów gminy na 2006r. (poz.3/poz.5)</t>
  </si>
  <si>
    <t xml:space="preserve"> Art.biurowe,wydatki USC, wydatki sekretariatu, zakup wyposażenia, dodatkowego oprogramowania</t>
  </si>
  <si>
    <t>Składki na ubezpieczenie zdrowotne opłacane za osoby pobierające niektóre świadczenia z pomocy społecznej oraz niektóre świadczenia rodzinne</t>
  </si>
  <si>
    <t>4. Prognozowana kwota długu na dzień 31.12.2014r. (poz.1+2-3a)</t>
  </si>
  <si>
    <t>5. Planowane dochody budżetu gminy na 2014r.</t>
  </si>
  <si>
    <t xml:space="preserve">    stosunku doplanowanych dochodów gminy na 2014r. (poz.3/poz.5)</t>
  </si>
  <si>
    <t>Prognoza na rok 2015</t>
  </si>
  <si>
    <t>4. Prognozowana kwota długu na dzień 31.12.2015r. (poz.1+2-3a)</t>
  </si>
  <si>
    <t>Wpłaty gmin Powiatu Szamotulskiego na organizacje Dożynek Powiatowych 2005r.</t>
  </si>
  <si>
    <t xml:space="preserve">Za dzierżawę polnych obwodów łowieckich </t>
  </si>
  <si>
    <t>Opłaty za nowe przyłącza wodociągowe</t>
  </si>
  <si>
    <t>Opłaty za nowe przyłącza kanalizacyjne</t>
  </si>
  <si>
    <t>Za wyrys i wypis z planu zagospodarowania przestrzennego</t>
  </si>
  <si>
    <t>Opłaty za grunty oddane w użytkowanie wieczyste</t>
  </si>
  <si>
    <t>Za dzierżawę gruntów rolnych 14.408,00, gruntów pod reklamy 492,00, gruntów pod garażem 342,00, gruntów pod usługi 2.788,00, gruntów pod wieżą telefonii komórkowej 36.000,00, za dzierżawę przydrożnej alei drzew owocowych 100,00, za najem lokali użytkowych 19.150,00</t>
  </si>
  <si>
    <t>Odsetki z ratalnej sprzedaży mieszkań i budynków</t>
  </si>
  <si>
    <t>Wpływy z opłaty planistycznej</t>
  </si>
  <si>
    <t>Koszty związane z odbiorem padliny z terenu gminy zgodnie z art..9 ust.1 i 7 ustawy z dnia 24 kwietnia 1997r. o zwalczaniu chorób zakaźnych zwierząt (Dz.U. z 1999r. Nr 66 poz.752 z późn.zmianami) Umowa z firmą STRUGA S.A.</t>
  </si>
  <si>
    <t>Organizacja Dożynek Powiatowych 2005, konkurs Piękna Wieś, wieńce dożynkowe</t>
  </si>
  <si>
    <t>Koszty delegacji zagranicznych</t>
  </si>
  <si>
    <t>Koszty delegacji  krajowych</t>
  </si>
  <si>
    <t>Kontakty partnerskie z Bystrzycą Kłodzką, Ujściem i Litwą, art.związane z obsługą Biura Rady, oraz zakup mebli do sali sesyjnej, sprzętu audiowizualnego i prenumerata Współnoty</t>
  </si>
  <si>
    <t>Usługi związane z obsługą Biura Rady, usługi poligraficzne związane z wydawaniem Obserwatora</t>
  </si>
  <si>
    <t>Składki WOKIS 5.400,00, ZGWRP 1.607,00, SGiPW 1.592,00, Stowarzyszenie Ekologicznych Gmin ZACHÓD 30.000,00, ubezpieczenie sprzętu i budynków 6.709,00</t>
  </si>
  <si>
    <t>Środki Bhp, ekwiwalenty za pranie</t>
  </si>
  <si>
    <t>Konserwacja centrali telefonicznej, konserwacja systemu alarmowego, urządzeń klimatyzacji oraz pozostałego sprzętu biurowego i wposażenia oraz bieżące naperawy i remonty</t>
  </si>
  <si>
    <t>Wydatki sołectw, utrzymanie  świetlic wiejskich, organizacja imprez okolicznościowych na terenie sołectw gminnych</t>
  </si>
  <si>
    <t>Paliwo do pojazdów i motopomp, części zamienne, zakup węgla dla OSP Bytyń, węże W52 i W75, materiały bieżącego utrzymania sprzętu i budynków strażnic, materiały związane z konkursami wiedzy pożarniczej oraz z Dniem Strażaka, materiały potrzebne do zorganizaowania zawodów pożarniczych oraz rajdu młodzieżowych drużyn pożarniczych. Prenumerata miesięcznika Strażak</t>
  </si>
  <si>
    <t>Naprawy pojazdów i sprzętu pożarniczego, prace remontowe strażnic w Kopaninie i Kaźmierzu (prace elewacyjne)</t>
  </si>
  <si>
    <t>Doposażenie biblioteki w lektury szkolne, pracowni w pomoce dydaktyczne, programy multimedialne, kasety video, pomoce dydaktyczne do nauki biologii, j.angielskiego i muzyki</t>
  </si>
  <si>
    <t>Opłaty RTV, opłaty za telefon, serwis sieci komputerowej, usługi komunalne, pralnie, wyjazdy uczniów na basen, badania pracownicze</t>
  </si>
  <si>
    <t>Odpis na Zakładowy Fundusz Świadczeń Socjalnych</t>
  </si>
  <si>
    <r>
      <t xml:space="preserve">zadania zlecone WUW P-ń </t>
    </r>
    <r>
      <rPr>
        <b/>
        <sz val="10"/>
        <rFont val="Times New Roman CE"/>
        <family val="1"/>
      </rPr>
      <t>60.100,00</t>
    </r>
    <r>
      <rPr>
        <sz val="10"/>
        <rFont val="Times New Roman CE"/>
        <family val="1"/>
      </rPr>
      <t xml:space="preserve">, zad.własne UG </t>
    </r>
    <r>
      <rPr>
        <b/>
        <sz val="10"/>
        <rFont val="Times New Roman CE"/>
        <family val="1"/>
      </rPr>
      <t>205.000,00</t>
    </r>
  </si>
  <si>
    <r>
      <t xml:space="preserve">WUW </t>
    </r>
    <r>
      <rPr>
        <b/>
        <sz val="10"/>
        <rFont val="Times New Roman CE"/>
        <family val="1"/>
      </rPr>
      <t>64.300,00</t>
    </r>
    <r>
      <rPr>
        <sz val="10"/>
        <rFont val="Times New Roman CE"/>
        <family val="1"/>
      </rPr>
      <t xml:space="preserve">, UG </t>
    </r>
    <r>
      <rPr>
        <b/>
        <sz val="10"/>
        <rFont val="Times New Roman CE"/>
        <family val="1"/>
      </rPr>
      <t>339.700,00</t>
    </r>
  </si>
  <si>
    <t>Stacji Uzdatniania Wody w Gaju Wielkim</t>
  </si>
  <si>
    <t>2005-2006</t>
  </si>
  <si>
    <t>Sieć wodociągowa Gaj Wielki - Młodasko- Bytyń</t>
  </si>
  <si>
    <t>2004-2007</t>
  </si>
  <si>
    <t>Sieć wodociągowa Młodasko</t>
  </si>
  <si>
    <t>2004-2005</t>
  </si>
  <si>
    <t>Sieć wodociągowa w Pólku obręb Wierzchaczewo</t>
  </si>
  <si>
    <t>Przebudowa płyty Rynku w Kaźmierzu</t>
  </si>
  <si>
    <t>2005-2007</t>
  </si>
  <si>
    <t>2007-2010</t>
  </si>
  <si>
    <t>Diety radnych zgodnie z Uchwałą Nr II/16/02 Rady Gminy Kaźmierz z dnia 04.12.2002, ze zm. Uchwała Nr XVI/108/03 z dn.22.12.2003r i Uchwała Nr XiX/124/04 z dn.19.03.2004r.</t>
  </si>
  <si>
    <t>Dotacja dla Gminnego Ośrodka Kultury w Kaźmierzu</t>
  </si>
  <si>
    <t>Dotacja dla Biblioteki Publicznej Gminy Kaźmierz</t>
  </si>
  <si>
    <t xml:space="preserve">Środki finansowe przeznaczone na działalność GKS Kaźmierz </t>
  </si>
  <si>
    <t>Zał.Nr 4 do  Projektu Uchwały Budżetowej na 2005r</t>
  </si>
  <si>
    <t>Załącznik do pisma Ministra Finansów z dnia 13.10.2004r., znak ST3-4820-52/2004</t>
  </si>
  <si>
    <t>Środki z kapitalizacji odsetek na kontach bankowych</t>
  </si>
  <si>
    <t>Dotacja dla jednostek OSP na zakup sprzetu pożarniczego i ratowniczego z dotacjami z MSWiA, ZGł.ZOSP, ZW ZOSP</t>
  </si>
  <si>
    <t>Bieżące utrzymanie urządzeń melioracji wodnej, konserawcja , odmulanie dna, odbudowa skarp, wykaszanie skarp i dna, hakowanie oraz czyszczenie wylotów drenarskich.</t>
  </si>
  <si>
    <t>18.000,00 x 5%</t>
  </si>
  <si>
    <t>Opłaty za druki, specyfikacje do przetargów</t>
  </si>
  <si>
    <t>Kapitalizacja odsetek na koncie bankowym GOPS</t>
  </si>
  <si>
    <t>Odsetki za nieterminowe regulowanie należności podatkowych</t>
  </si>
  <si>
    <t xml:space="preserve">    stosunku doplanowanych dochodów gminy na 2015r. (poz.3/poz.5)</t>
  </si>
  <si>
    <t xml:space="preserve">Dotacja przedmiotowa z budżetu dla zakładu budżetowego </t>
  </si>
  <si>
    <t xml:space="preserve">Gmina Kaźmierz nie wyemitowała papierów wartościowych, nie udzielała gwarancji i poręczeń, </t>
  </si>
  <si>
    <t>nie  przyjęła depozytów oraz informuje, iż nie posiada innych wymagalnych zobowiązań.</t>
  </si>
  <si>
    <t>Prognoza na rok 2014</t>
  </si>
  <si>
    <t>Podróże służbowe zagraniczna</t>
  </si>
  <si>
    <t>Dz</t>
  </si>
  <si>
    <t>Rozdz</t>
  </si>
  <si>
    <t>§</t>
  </si>
  <si>
    <t>Treść</t>
  </si>
  <si>
    <t>I</t>
  </si>
  <si>
    <t>II</t>
  </si>
  <si>
    <t>III</t>
  </si>
  <si>
    <t>IV</t>
  </si>
  <si>
    <t>V</t>
  </si>
  <si>
    <t>VI</t>
  </si>
  <si>
    <t>VII</t>
  </si>
  <si>
    <t>VIII</t>
  </si>
  <si>
    <t>IX</t>
  </si>
  <si>
    <t>X</t>
  </si>
  <si>
    <t>XI</t>
  </si>
  <si>
    <t>XII</t>
  </si>
  <si>
    <t>%</t>
  </si>
  <si>
    <t>Pozostała działalność</t>
  </si>
  <si>
    <t>Leśnictwo</t>
  </si>
  <si>
    <t>Pobór podatków, opłat i niepodatkowych należności budżetowych</t>
  </si>
  <si>
    <t>1% planowanych rocznych środków na wynagrodzenia nauczycieli art.70a ustawy Karta Nauczyciela (jako podstawę przyjęto sumę §4010 w działach 80101, 80104, 80110 pomniejszone o wynagrodzenia obsługi)</t>
  </si>
  <si>
    <t>Gospodarka mieszkaniowa</t>
  </si>
  <si>
    <t>Nazwa i cel programu</t>
  </si>
  <si>
    <t>Jednostka realizująca program</t>
  </si>
  <si>
    <t xml:space="preserve">Okres realizacji programu </t>
  </si>
  <si>
    <t>Wysokość wydatków w okresie realizacji</t>
  </si>
  <si>
    <t xml:space="preserve">Ogółem </t>
  </si>
  <si>
    <t>w tym:</t>
  </si>
  <si>
    <t>Gmina Kaźmierz</t>
  </si>
  <si>
    <t>Ochotnicze straże pożarne</t>
  </si>
  <si>
    <t>Gospodarka gruntami i nieruchomościami</t>
  </si>
  <si>
    <t>Oświata i wychowanie</t>
  </si>
  <si>
    <t>Biblioteki</t>
  </si>
  <si>
    <t>Dodatki mieszkaniowe</t>
  </si>
  <si>
    <t>Pomoc społeczna</t>
  </si>
  <si>
    <t>Udziały gmin w podatkach stanowiących dochód budżetu państwa</t>
  </si>
  <si>
    <t>Wpływy z opłaty skarbowej</t>
  </si>
  <si>
    <t>Urzędy wojewódzkie</t>
  </si>
  <si>
    <t>Urzędy gmin</t>
  </si>
  <si>
    <t>Obrona cywilna</t>
  </si>
  <si>
    <t>Różne rozliczenia</t>
  </si>
  <si>
    <t>Zwiększenie przychodów z tytułu kredytów z przeznaczeniem na inwestycje prowadzone na terenie gminy</t>
  </si>
  <si>
    <t>OGÓŁEM</t>
  </si>
  <si>
    <t>Rozdz.</t>
  </si>
  <si>
    <t>Wynagrodzenia osobowe pracowników</t>
  </si>
  <si>
    <t>Dodatkowe wynagrodzenia roczne</t>
  </si>
  <si>
    <t>Różne wydatki na rzecz osób fizycznych</t>
  </si>
  <si>
    <t>Podróże służbowe krajowe</t>
  </si>
  <si>
    <t>Różne opłaty i składki</t>
  </si>
  <si>
    <t>Składki na Fundusz Pracy</t>
  </si>
  <si>
    <t>Odpisy na zakładowy fundusz świadczeń socjalnych</t>
  </si>
  <si>
    <t>Szkoły podstawowe</t>
  </si>
  <si>
    <t>Gimnazja</t>
  </si>
  <si>
    <t>Ochrona zdrowia</t>
  </si>
  <si>
    <t>Przeciwdziałanie alkoholizmowi</t>
  </si>
  <si>
    <t xml:space="preserve">Sieć wodociągowa Kaźmierz ul.Polna-Reja </t>
  </si>
  <si>
    <t>Sieć wodociągowa Kaźmierz ul.Szkolna</t>
  </si>
  <si>
    <t>Sieć kanalizacyjna Kaźmierz ul.Szkolna</t>
  </si>
  <si>
    <t>Sieć kanalizacyjna Kaźmierz ul.Polna-Reja</t>
  </si>
  <si>
    <t>Kanalizacja deszczowa ul.Szkolna Kaźmierz</t>
  </si>
  <si>
    <t>Kanalizacja deszczowa Kaźmierz ul.Polna-Reja</t>
  </si>
  <si>
    <t xml:space="preserve">Rozbudowa oczyszczalni w Kiączynie, likwidacja oczyszczalni w Kaźmierzu, budowa przepompowni </t>
  </si>
  <si>
    <t>Kultura fizyczna i sport</t>
  </si>
  <si>
    <t>Rady gmin</t>
  </si>
  <si>
    <t>Jednostki terenowe Policji</t>
  </si>
  <si>
    <t>010</t>
  </si>
  <si>
    <t>Rolnictwo i łowiectwo</t>
  </si>
  <si>
    <t>01008</t>
  </si>
  <si>
    <t>01010</t>
  </si>
  <si>
    <t>020</t>
  </si>
  <si>
    <t>Transport i łączność</t>
  </si>
  <si>
    <t>Drogi publiczne gminne</t>
  </si>
  <si>
    <t>Administracja publiczna</t>
  </si>
  <si>
    <t>Urzędy naczelnych organów władzy państwowej, kontroli i ochrony prawa i sądownictwa</t>
  </si>
  <si>
    <t>Bezpieczeństwo publiczne i ochrona przeciwpożarowa</t>
  </si>
  <si>
    <t>Dochody od osób prawnych, od osób fizycznych i od innych jednostek nie posiadających osobowości prawnej</t>
  </si>
  <si>
    <t>Kredyt</t>
  </si>
  <si>
    <t>Dotacja dla placówki niepublicznej</t>
  </si>
  <si>
    <t>Część oświatowa subwencji ogólnej dla samorządu terytorialnego</t>
  </si>
  <si>
    <t>Dowożenie uczniów</t>
  </si>
  <si>
    <t>Zespoły ekonomiczno-administracyjne szkół</t>
  </si>
  <si>
    <t>Zasiłki i pomoc w naturze oraz składki na ubezpieczenia społeczne</t>
  </si>
  <si>
    <t>Zasiłki rodzinne, pielęgnacyjne i wychowawcze</t>
  </si>
  <si>
    <t>Ośrodki pomocy społecznej</t>
  </si>
  <si>
    <t>Gospodarka komunalna i ochrona środowiska</t>
  </si>
  <si>
    <t>Oświetlenie ulic, placów i dróg</t>
  </si>
  <si>
    <t>Domy i ośrodki kultury, świetlice i kluby</t>
  </si>
  <si>
    <t>Infrastruktura wodociągowa i sanitacji wsi</t>
  </si>
  <si>
    <t>02095</t>
  </si>
  <si>
    <t>Kultura i ochrona dziedzictwa narodowego</t>
  </si>
  <si>
    <t>Wpływy z usług</t>
  </si>
  <si>
    <t>Wpływy z opłat za zarząd, użytkowanie i użytkowanie wieczyste nieruchomości</t>
  </si>
  <si>
    <t>Pozostałe odsetki</t>
  </si>
  <si>
    <t>Dotacje celowe otrzymane z budżetu państwa na realizację zadań bieżących z zakresu administracji rządowej oraz innych zadań zleconych gminie ustawami</t>
  </si>
  <si>
    <t>Podatek rolny</t>
  </si>
  <si>
    <t>Podatek leśny</t>
  </si>
  <si>
    <t>Podatek od nieruchomości</t>
  </si>
  <si>
    <t>Podatek od środków transportowych</t>
  </si>
  <si>
    <t>Usługi geodezyjne i urbanistyczne</t>
  </si>
  <si>
    <t xml:space="preserve">Zakup paliwa dla jednostki policji </t>
  </si>
  <si>
    <t>Podatek od działalności gospodarczej osób fizycznych, opłacany w formie karty podatkowej</t>
  </si>
  <si>
    <t>Podatek od spadków i darowizn</t>
  </si>
  <si>
    <t>Wpływy z opłaty targowej</t>
  </si>
  <si>
    <t>Odsetki od nieterminowych wpłat z tytułu podatków i opłat</t>
  </si>
  <si>
    <t>Podatek dochodowy od osób fizycznych</t>
  </si>
  <si>
    <t>Podatek dochodowy od osób prawnych</t>
  </si>
  <si>
    <t>Subwencje ogólne z budżetu państwa</t>
  </si>
  <si>
    <t>Wpływy z opłat za zezwolenie na sprzedaż alkoholu</t>
  </si>
  <si>
    <t>Wpływy z opłaty eksploatacyjnej</t>
  </si>
  <si>
    <t>Środki na dofinasowanie własnych inwestycji gmin pozyskane z innych źródeł</t>
  </si>
  <si>
    <t>Zakup usług remontowych</t>
  </si>
  <si>
    <t>Zakup usług pozostałych</t>
  </si>
  <si>
    <t>Zakup energii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</si>
</sst>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
    <numFmt numFmtId="165" formatCode="mmm/yyyy"/>
  </numFmts>
  <fonts count="29">
    <font>
      <sz val="10"/>
      <name val="Arial CE"/>
      <family val="0"/>
    </font>
    <font>
      <b/>
      <sz val="10"/>
      <name val="Times New Roman CE"/>
      <family val="1"/>
    </font>
    <font>
      <sz val="10"/>
      <name val="Times New Roman CE"/>
      <family val="1"/>
    </font>
    <font>
      <sz val="10"/>
      <color indexed="10"/>
      <name val="Times New Roman CE"/>
      <family val="1"/>
    </font>
    <font>
      <sz val="10"/>
      <color indexed="48"/>
      <name val="Times New Roman CE"/>
      <family val="1"/>
    </font>
    <font>
      <b/>
      <sz val="12"/>
      <name val="Times New Roman CE"/>
      <family val="1"/>
    </font>
    <font>
      <sz val="12"/>
      <name val="Times New Roman CE"/>
      <family val="1"/>
    </font>
    <font>
      <b/>
      <sz val="10"/>
      <color indexed="48"/>
      <name val="Times New Roman CE"/>
      <family val="1"/>
    </font>
    <font>
      <sz val="10"/>
      <name val="Times New Roman"/>
      <family val="1"/>
    </font>
    <font>
      <sz val="11"/>
      <name val="Times New Roman CE"/>
      <family val="1"/>
    </font>
    <font>
      <b/>
      <sz val="10"/>
      <name val="Times New Roman"/>
      <family val="1"/>
    </font>
    <font>
      <b/>
      <sz val="11"/>
      <name val="Times New Roman CE"/>
      <family val="1"/>
    </font>
    <font>
      <b/>
      <sz val="12"/>
      <name val="Arial CE"/>
      <family val="2"/>
    </font>
    <font>
      <b/>
      <sz val="10"/>
      <color indexed="48"/>
      <name val="Times New Roman"/>
      <family val="1"/>
    </font>
    <font>
      <b/>
      <sz val="12"/>
      <color indexed="48"/>
      <name val="Times New Roman CE"/>
      <family val="1"/>
    </font>
    <font>
      <sz val="8"/>
      <name val="Times New Roman CE"/>
      <family val="1"/>
    </font>
    <font>
      <sz val="10"/>
      <color indexed="12"/>
      <name val="Times New Roman CE"/>
      <family val="1"/>
    </font>
    <font>
      <b/>
      <sz val="12"/>
      <color indexed="12"/>
      <name val="Times New Roman CE"/>
      <family val="1"/>
    </font>
    <font>
      <b/>
      <sz val="10"/>
      <color indexed="12"/>
      <name val="Times New Roman CE"/>
      <family val="1"/>
    </font>
    <font>
      <sz val="16"/>
      <color indexed="48"/>
      <name val="Times New Roman CE"/>
      <family val="1"/>
    </font>
    <font>
      <b/>
      <sz val="14"/>
      <color indexed="12"/>
      <name val="Times New Roman CE"/>
      <family val="1"/>
    </font>
    <font>
      <sz val="8"/>
      <name val="Arial CE"/>
      <family val="0"/>
    </font>
    <font>
      <sz val="12"/>
      <color indexed="10"/>
      <name val="Times New Roman CE"/>
      <family val="1"/>
    </font>
    <font>
      <b/>
      <sz val="14"/>
      <name val="Times New Roman CE"/>
      <family val="1"/>
    </font>
    <font>
      <b/>
      <sz val="10"/>
      <color indexed="10"/>
      <name val="Arial CE"/>
      <family val="2"/>
    </font>
    <font>
      <sz val="11"/>
      <color indexed="12"/>
      <name val="Times New Roman CE"/>
      <family val="1"/>
    </font>
    <font>
      <sz val="10"/>
      <color indexed="8"/>
      <name val="Times New Roman CE"/>
      <family val="1"/>
    </font>
    <font>
      <sz val="10"/>
      <color indexed="10"/>
      <name val="Arial CE"/>
      <family val="0"/>
    </font>
    <font>
      <b/>
      <sz val="14"/>
      <color indexed="10"/>
      <name val="Arial CE"/>
      <family val="0"/>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40">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medium"/>
      <top style="thin"/>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medium"/>
    </border>
    <border>
      <left style="thin"/>
      <right style="medium"/>
      <top style="medium"/>
      <bottom>
        <color indexed="63"/>
      </bottom>
    </border>
    <border>
      <left style="medium"/>
      <right style="thin"/>
      <top>
        <color indexed="63"/>
      </top>
      <bottom style="mediu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9">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 fontId="1" fillId="0" borderId="1" xfId="0" applyNumberFormat="1" applyFont="1" applyBorder="1" applyAlignment="1">
      <alignment horizontal="right" vertical="center" wrapText="1"/>
    </xf>
    <xf numFmtId="4" fontId="1" fillId="0" borderId="1" xfId="0" applyNumberFormat="1" applyFont="1" applyFill="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vertical="center" wrapText="1"/>
    </xf>
    <xf numFmtId="4" fontId="2" fillId="0" borderId="1" xfId="0" applyNumberFormat="1" applyFont="1" applyBorder="1" applyAlignment="1">
      <alignment horizontal="righ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Alignment="1">
      <alignment vertical="center" wrapText="1"/>
    </xf>
    <xf numFmtId="4" fontId="2" fillId="0" borderId="0" xfId="0" applyNumberFormat="1" applyFont="1" applyAlignment="1">
      <alignment vertical="center" wrapText="1"/>
    </xf>
    <xf numFmtId="0" fontId="2" fillId="0" borderId="1" xfId="0" applyFont="1" applyBorder="1" applyAlignment="1" quotePrefix="1">
      <alignment horizontal="center" vertical="center" wrapText="1"/>
    </xf>
    <xf numFmtId="0" fontId="1" fillId="2" borderId="1" xfId="0" applyFont="1" applyFill="1" applyBorder="1" applyAlignment="1" quotePrefix="1">
      <alignment horizontal="center" vertical="center" wrapText="1"/>
    </xf>
    <xf numFmtId="0" fontId="1" fillId="3" borderId="1" xfId="0" applyFont="1" applyFill="1" applyBorder="1" applyAlignment="1">
      <alignment vertical="center" wrapText="1"/>
    </xf>
    <xf numFmtId="4" fontId="1" fillId="0" borderId="1" xfId="0" applyNumberFormat="1" applyFont="1" applyFill="1" applyBorder="1" applyAlignment="1">
      <alignment horizontal="center" vertical="center" wrapText="1"/>
    </xf>
    <xf numFmtId="4" fontId="2" fillId="0" borderId="1" xfId="0" applyNumberFormat="1" applyFont="1" applyFill="1" applyBorder="1" applyAlignment="1">
      <alignment vertical="center" wrapText="1"/>
    </xf>
    <xf numFmtId="4" fontId="1" fillId="0" borderId="1" xfId="0" applyNumberFormat="1" applyFont="1" applyBorder="1" applyAlignment="1">
      <alignment horizontal="center" vertical="center" wrapText="1"/>
    </xf>
    <xf numFmtId="4" fontId="1" fillId="0" borderId="1" xfId="0" applyNumberFormat="1" applyFont="1" applyBorder="1" applyAlignment="1">
      <alignment vertical="center" wrapText="1"/>
    </xf>
    <xf numFmtId="0" fontId="1" fillId="0" borderId="1" xfId="0" applyFont="1" applyBorder="1" applyAlignment="1" quotePrefix="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4" fontId="2" fillId="0" borderId="1" xfId="0" applyNumberFormat="1" applyFont="1" applyFill="1" applyBorder="1" applyAlignment="1">
      <alignment horizontal="right" vertical="center" wrapText="1"/>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0" borderId="1" xfId="0" applyFont="1" applyBorder="1" applyAlignment="1">
      <alignment/>
    </xf>
    <xf numFmtId="0" fontId="2" fillId="0" borderId="1" xfId="0" applyFont="1" applyBorder="1" applyAlignment="1">
      <alignment horizontal="center"/>
    </xf>
    <xf numFmtId="4" fontId="2" fillId="0" borderId="1" xfId="0" applyNumberFormat="1" applyFont="1" applyBorder="1" applyAlignment="1">
      <alignment/>
    </xf>
    <xf numFmtId="0" fontId="2" fillId="0" borderId="3" xfId="0" applyFont="1" applyBorder="1" applyAlignment="1">
      <alignment/>
    </xf>
    <xf numFmtId="0" fontId="2" fillId="0" borderId="3" xfId="0" applyFont="1" applyBorder="1" applyAlignment="1">
      <alignment horizontal="center"/>
    </xf>
    <xf numFmtId="0" fontId="2" fillId="0" borderId="4" xfId="0" applyFont="1" applyBorder="1" applyAlignment="1">
      <alignment/>
    </xf>
    <xf numFmtId="0" fontId="2" fillId="0" borderId="4" xfId="0" applyFont="1" applyBorder="1" applyAlignment="1">
      <alignment horizontal="center"/>
    </xf>
    <xf numFmtId="4" fontId="2" fillId="0" borderId="1" xfId="0" applyNumberFormat="1" applyFont="1" applyBorder="1" applyAlignment="1">
      <alignment vertical="center"/>
    </xf>
    <xf numFmtId="0" fontId="1" fillId="0" borderId="1" xfId="0" applyFont="1" applyBorder="1" applyAlignment="1" quotePrefix="1">
      <alignment horizontal="center"/>
    </xf>
    <xf numFmtId="0" fontId="1" fillId="0" borderId="1" xfId="0" applyFont="1" applyBorder="1" applyAlignment="1">
      <alignment horizontal="center"/>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left"/>
    </xf>
    <xf numFmtId="0" fontId="1" fillId="0" borderId="0" xfId="0" applyFont="1" applyAlignment="1">
      <alignment/>
    </xf>
    <xf numFmtId="4" fontId="4" fillId="0" borderId="1" xfId="0" applyNumberFormat="1" applyFont="1" applyBorder="1" applyAlignment="1">
      <alignment vertical="center" wrapText="1"/>
    </xf>
    <xf numFmtId="4" fontId="7" fillId="2"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wrapText="1"/>
    </xf>
    <xf numFmtId="4" fontId="7"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4" fontId="4" fillId="0" borderId="0" xfId="0" applyNumberFormat="1" applyFont="1" applyAlignment="1">
      <alignment vertical="center" wrapText="1"/>
    </xf>
    <xf numFmtId="0" fontId="12" fillId="0" borderId="0" xfId="0" applyFont="1" applyAlignment="1">
      <alignment horizontal="center"/>
    </xf>
    <xf numFmtId="0" fontId="1" fillId="0" borderId="0" xfId="0" applyFont="1" applyAlignment="1">
      <alignment horizontal="left" vertical="center" wrapText="1"/>
    </xf>
    <xf numFmtId="4" fontId="1" fillId="0" borderId="0" xfId="0" applyNumberFormat="1" applyFont="1" applyAlignment="1">
      <alignment horizontal="center"/>
    </xf>
    <xf numFmtId="4" fontId="2" fillId="0" borderId="0" xfId="0" applyNumberFormat="1" applyFont="1" applyAlignment="1">
      <alignment horizontal="right"/>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4" fontId="8" fillId="0" borderId="1" xfId="0" applyNumberFormat="1" applyFont="1" applyBorder="1" applyAlignment="1">
      <alignment horizontal="right" vertical="center" wrapText="1"/>
    </xf>
    <xf numFmtId="4" fontId="2" fillId="0" borderId="5" xfId="0" applyNumberFormat="1" applyFont="1" applyBorder="1" applyAlignment="1">
      <alignment vertical="center" wrapText="1"/>
    </xf>
    <xf numFmtId="0" fontId="10" fillId="0" borderId="1" xfId="0" applyFont="1" applyBorder="1" applyAlignment="1">
      <alignment vertical="center" wrapText="1"/>
    </xf>
    <xf numFmtId="0" fontId="13" fillId="0" borderId="0" xfId="0" applyFont="1" applyAlignment="1">
      <alignment horizontal="right" vertical="center"/>
    </xf>
    <xf numFmtId="0" fontId="10" fillId="0" borderId="0" xfId="0" applyFont="1" applyAlignment="1">
      <alignment horizontal="right" vertical="center"/>
    </xf>
    <xf numFmtId="0" fontId="1" fillId="0" borderId="0" xfId="0" applyFont="1" applyAlignment="1">
      <alignment horizontal="left" vertical="center"/>
    </xf>
    <xf numFmtId="0" fontId="8" fillId="3"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center" vertical="center"/>
    </xf>
    <xf numFmtId="4" fontId="6" fillId="0" borderId="0" xfId="0" applyNumberFormat="1" applyFont="1" applyAlignment="1">
      <alignment vertical="center" wrapText="1"/>
    </xf>
    <xf numFmtId="0" fontId="6" fillId="0" borderId="0" xfId="0" applyFont="1" applyAlignment="1">
      <alignment vertical="center" wrapText="1"/>
    </xf>
    <xf numFmtId="0" fontId="1" fillId="5" borderId="6" xfId="0" applyFont="1" applyFill="1" applyBorder="1" applyAlignment="1">
      <alignment horizontal="center" vertical="center"/>
    </xf>
    <xf numFmtId="0" fontId="7" fillId="5" borderId="6" xfId="0" applyFont="1" applyFill="1" applyBorder="1" applyAlignment="1">
      <alignment horizontal="center" vertical="center"/>
    </xf>
    <xf numFmtId="0" fontId="2" fillId="0" borderId="0" xfId="0" applyFont="1" applyFill="1" applyAlignment="1">
      <alignment vertical="center"/>
    </xf>
    <xf numFmtId="4" fontId="2" fillId="0" borderId="0" xfId="0" applyNumberFormat="1" applyFont="1" applyFill="1" applyAlignment="1">
      <alignment vertical="center" wrapText="1"/>
    </xf>
    <xf numFmtId="4" fontId="2" fillId="6" borderId="1" xfId="0" applyNumberFormat="1" applyFont="1" applyFill="1" applyBorder="1" applyAlignment="1">
      <alignment vertical="center" wrapText="1"/>
    </xf>
    <xf numFmtId="4" fontId="3" fillId="0" borderId="1" xfId="0" applyNumberFormat="1" applyFont="1" applyBorder="1" applyAlignment="1">
      <alignment vertical="center"/>
    </xf>
    <xf numFmtId="0" fontId="3" fillId="0" borderId="3" xfId="0" applyFont="1" applyBorder="1" applyAlignment="1">
      <alignment/>
    </xf>
    <xf numFmtId="0" fontId="3" fillId="0" borderId="4" xfId="0" applyFont="1" applyBorder="1" applyAlignment="1">
      <alignment/>
    </xf>
    <xf numFmtId="0" fontId="2" fillId="2" borderId="1" xfId="0" applyFont="1" applyFill="1" applyBorder="1" applyAlignment="1">
      <alignment/>
    </xf>
    <xf numFmtId="4" fontId="2" fillId="2" borderId="1" xfId="0" applyNumberFormat="1" applyFont="1" applyFill="1" applyBorder="1" applyAlignment="1">
      <alignment/>
    </xf>
    <xf numFmtId="0" fontId="6" fillId="4" borderId="7" xfId="0" applyFont="1" applyFill="1" applyBorder="1" applyAlignment="1">
      <alignment horizontal="center"/>
    </xf>
    <xf numFmtId="0" fontId="6" fillId="4" borderId="7" xfId="0" applyFont="1" applyFill="1" applyBorder="1" applyAlignment="1">
      <alignment/>
    </xf>
    <xf numFmtId="4" fontId="5" fillId="0" borderId="7" xfId="0" applyNumberFormat="1" applyFont="1" applyBorder="1" applyAlignment="1">
      <alignment horizontal="center"/>
    </xf>
    <xf numFmtId="4"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4" fontId="18" fillId="0" borderId="1" xfId="0" applyNumberFormat="1" applyFont="1" applyBorder="1" applyAlignment="1">
      <alignment horizontal="center" vertical="center" wrapText="1"/>
    </xf>
    <xf numFmtId="4" fontId="16" fillId="0" borderId="1" xfId="0" applyNumberFormat="1" applyFont="1" applyBorder="1" applyAlignment="1">
      <alignment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4" fontId="2" fillId="0" borderId="0" xfId="0" applyNumberFormat="1" applyFont="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1" fillId="5" borderId="6" xfId="0" applyFont="1" applyFill="1" applyBorder="1" applyAlignment="1">
      <alignment horizontal="right" vertical="center"/>
    </xf>
    <xf numFmtId="4" fontId="2" fillId="0" borderId="0" xfId="0" applyNumberFormat="1" applyFont="1" applyAlignment="1">
      <alignment horizontal="right" vertical="center" wrapText="1"/>
    </xf>
    <xf numFmtId="4" fontId="3" fillId="0" borderId="0" xfId="0" applyNumberFormat="1" applyFont="1" applyAlignment="1">
      <alignment/>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16" fillId="0" borderId="1" xfId="0" applyNumberFormat="1" applyFont="1" applyFill="1" applyBorder="1" applyAlignment="1">
      <alignment horizontal="right" vertical="center" wrapText="1"/>
    </xf>
    <xf numFmtId="0" fontId="2"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xf>
    <xf numFmtId="4" fontId="5" fillId="0" borderId="1" xfId="0" applyNumberFormat="1" applyFont="1" applyBorder="1" applyAlignment="1">
      <alignment horizontal="center"/>
    </xf>
    <xf numFmtId="4" fontId="2" fillId="2"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3" borderId="3" xfId="0" applyFont="1" applyFill="1" applyBorder="1" applyAlignment="1">
      <alignment horizontal="center" vertical="center" wrapText="1"/>
    </xf>
    <xf numFmtId="0" fontId="1" fillId="0" borderId="0" xfId="0" applyFont="1" applyAlignment="1">
      <alignment vertical="center"/>
    </xf>
    <xf numFmtId="0" fontId="1" fillId="4"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4" fontId="1" fillId="3" borderId="1" xfId="0" applyNumberFormat="1" applyFont="1" applyFill="1" applyBorder="1" applyAlignment="1">
      <alignment horizontal="center" vertical="center"/>
    </xf>
    <xf numFmtId="4" fontId="2"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7" borderId="8" xfId="0" applyFont="1" applyFill="1" applyBorder="1" applyAlignment="1">
      <alignment horizontal="left" vertical="center" wrapText="1"/>
    </xf>
    <xf numFmtId="4" fontId="1" fillId="7" borderId="8" xfId="0" applyNumberFormat="1" applyFont="1" applyFill="1" applyBorder="1" applyAlignment="1">
      <alignment horizontal="center" vertical="center" wrapText="1"/>
    </xf>
    <xf numFmtId="0" fontId="22" fillId="0" borderId="0" xfId="0" applyFont="1" applyAlignment="1">
      <alignment vertical="center" wrapText="1"/>
    </xf>
    <xf numFmtId="4" fontId="2" fillId="0" borderId="0" xfId="0" applyNumberFormat="1" applyFont="1" applyAlignment="1">
      <alignment vertical="center"/>
    </xf>
    <xf numFmtId="4" fontId="1" fillId="0" borderId="0" xfId="0" applyNumberFormat="1" applyFont="1" applyAlignment="1">
      <alignment vertical="center" wrapText="1"/>
    </xf>
    <xf numFmtId="4" fontId="3" fillId="0" borderId="0" xfId="0" applyNumberFormat="1" applyFont="1" applyAlignment="1">
      <alignment horizontal="left" vertical="center" wrapText="1"/>
    </xf>
    <xf numFmtId="0" fontId="1" fillId="4" borderId="9" xfId="0" applyFont="1" applyFill="1" applyBorder="1" applyAlignment="1">
      <alignment horizontal="center" vertical="center"/>
    </xf>
    <xf numFmtId="0" fontId="2" fillId="4" borderId="10" xfId="0" applyFont="1" applyFill="1" applyBorder="1" applyAlignment="1">
      <alignment horizontal="left" vertical="center"/>
    </xf>
    <xf numFmtId="0" fontId="1" fillId="3" borderId="11" xfId="0" applyFont="1" applyFill="1" applyBorder="1" applyAlignment="1" quotePrefix="1">
      <alignment horizontal="center" vertical="center"/>
    </xf>
    <xf numFmtId="4" fontId="2" fillId="3" borderId="12" xfId="0" applyNumberFormat="1" applyFont="1" applyFill="1" applyBorder="1" applyAlignment="1">
      <alignment horizontal="left" vertical="center"/>
    </xf>
    <xf numFmtId="0" fontId="1" fillId="0" borderId="11" xfId="0" applyFont="1" applyBorder="1" applyAlignment="1">
      <alignment horizontal="center" vertical="center" wrapText="1"/>
    </xf>
    <xf numFmtId="4" fontId="2" fillId="0" borderId="13" xfId="0" applyNumberFormat="1" applyFont="1" applyBorder="1" applyAlignment="1">
      <alignment horizontal="left" vertical="center" wrapText="1"/>
    </xf>
    <xf numFmtId="4" fontId="2" fillId="0" borderId="12" xfId="0" applyNumberFormat="1" applyFont="1" applyBorder="1" applyAlignment="1">
      <alignment horizontal="left" vertical="center" wrapText="1"/>
    </xf>
    <xf numFmtId="0" fontId="2" fillId="0" borderId="11" xfId="0" applyFont="1" applyBorder="1" applyAlignment="1">
      <alignment horizontal="center" vertical="center" wrapText="1"/>
    </xf>
    <xf numFmtId="4" fontId="2" fillId="0" borderId="12" xfId="0" applyNumberFormat="1" applyFont="1" applyFill="1" applyBorder="1" applyAlignment="1">
      <alignment horizontal="left" vertical="center" wrapText="1"/>
    </xf>
    <xf numFmtId="0" fontId="1" fillId="3" borderId="11" xfId="0" applyFont="1" applyFill="1" applyBorder="1" applyAlignment="1">
      <alignment horizontal="center" vertical="center" wrapText="1"/>
    </xf>
    <xf numFmtId="4" fontId="2" fillId="3" borderId="12" xfId="0" applyNumberFormat="1" applyFont="1" applyFill="1" applyBorder="1" applyAlignment="1">
      <alignment horizontal="left" vertical="center" wrapText="1"/>
    </xf>
    <xf numFmtId="0" fontId="2" fillId="0" borderId="11" xfId="0" applyFont="1" applyBorder="1" applyAlignment="1">
      <alignment horizontal="left" vertical="center" wrapText="1"/>
    </xf>
    <xf numFmtId="0" fontId="1" fillId="0" borderId="1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4" fontId="16" fillId="7" borderId="16" xfId="0" applyNumberFormat="1" applyFont="1" applyFill="1" applyBorder="1" applyAlignment="1">
      <alignment horizontal="left" vertical="center" wrapText="1"/>
    </xf>
    <xf numFmtId="0" fontId="18" fillId="0" borderId="0" xfId="0" applyFont="1" applyAlignment="1">
      <alignment vertical="center" wrapText="1"/>
    </xf>
    <xf numFmtId="4" fontId="2" fillId="0" borderId="7" xfId="0" applyNumberFormat="1" applyFont="1" applyBorder="1" applyAlignment="1">
      <alignment/>
    </xf>
    <xf numFmtId="0" fontId="1" fillId="0" borderId="3" xfId="0" applyFont="1" applyBorder="1" applyAlignment="1">
      <alignment/>
    </xf>
    <xf numFmtId="0" fontId="1" fillId="0" borderId="7" xfId="0" applyFont="1" applyBorder="1" applyAlignment="1">
      <alignment/>
    </xf>
    <xf numFmtId="4" fontId="2" fillId="0" borderId="4" xfId="0" applyNumberFormat="1" applyFont="1" applyBorder="1" applyAlignment="1">
      <alignment/>
    </xf>
    <xf numFmtId="4" fontId="11" fillId="0" borderId="0" xfId="0" applyNumberFormat="1" applyFont="1" applyAlignment="1">
      <alignment horizontal="center" vertical="center" wrapText="1"/>
    </xf>
    <xf numFmtId="0" fontId="2" fillId="3" borderId="1" xfId="0" applyFont="1" applyFill="1" applyBorder="1" applyAlignment="1">
      <alignment vertical="center" wrapText="1"/>
    </xf>
    <xf numFmtId="4" fontId="2" fillId="3" borderId="1" xfId="0" applyNumberFormat="1" applyFont="1" applyFill="1" applyBorder="1" applyAlignment="1">
      <alignment vertical="center" wrapText="1"/>
    </xf>
    <xf numFmtId="0" fontId="8" fillId="3" borderId="1" xfId="0" applyFont="1" applyFill="1" applyBorder="1" applyAlignment="1">
      <alignment vertical="center" wrapText="1"/>
    </xf>
    <xf numFmtId="0" fontId="11" fillId="0" borderId="0" xfId="0" applyFont="1" applyAlignment="1">
      <alignment/>
    </xf>
    <xf numFmtId="0" fontId="9" fillId="0" borderId="0" xfId="0" applyFont="1" applyAlignment="1">
      <alignment/>
    </xf>
    <xf numFmtId="0" fontId="15" fillId="0" borderId="0" xfId="0" applyFont="1" applyAlignment="1">
      <alignment/>
    </xf>
    <xf numFmtId="4" fontId="9" fillId="0" borderId="0" xfId="0" applyNumberFormat="1" applyFont="1" applyAlignment="1">
      <alignment/>
    </xf>
    <xf numFmtId="0" fontId="9" fillId="0" borderId="0" xfId="0" applyFont="1" applyAlignment="1" quotePrefix="1">
      <alignment horizontal="right"/>
    </xf>
    <xf numFmtId="4" fontId="11" fillId="0" borderId="0" xfId="0" applyNumberFormat="1" applyFont="1" applyAlignment="1">
      <alignment/>
    </xf>
    <xf numFmtId="0" fontId="9" fillId="0" borderId="0" xfId="0" applyFont="1" applyAlignment="1">
      <alignment horizontal="right"/>
    </xf>
    <xf numFmtId="0" fontId="9" fillId="0" borderId="0" xfId="0" applyFont="1" applyAlignment="1" quotePrefix="1">
      <alignment/>
    </xf>
    <xf numFmtId="10" fontId="9" fillId="0" borderId="0" xfId="0" applyNumberFormat="1" applyFont="1" applyAlignment="1">
      <alignment/>
    </xf>
    <xf numFmtId="0" fontId="6" fillId="0" borderId="17" xfId="0" applyFont="1" applyBorder="1" applyAlignment="1">
      <alignment vertical="center" wrapText="1"/>
    </xf>
    <xf numFmtId="0" fontId="2" fillId="0" borderId="17" xfId="0" applyFont="1" applyBorder="1" applyAlignment="1">
      <alignment vertical="center"/>
    </xf>
    <xf numFmtId="0" fontId="6" fillId="0" borderId="0" xfId="0" applyFont="1" applyAlignment="1">
      <alignment/>
    </xf>
    <xf numFmtId="0" fontId="5" fillId="8" borderId="1" xfId="0" applyFont="1" applyFill="1" applyBorder="1" applyAlignment="1">
      <alignment horizontal="center" vertical="center" wrapText="1"/>
    </xf>
    <xf numFmtId="0" fontId="6" fillId="8" borderId="1" xfId="0" applyFont="1" applyFill="1" applyBorder="1" applyAlignment="1">
      <alignment vertical="center" wrapText="1"/>
    </xf>
    <xf numFmtId="4" fontId="17" fillId="0" borderId="7" xfId="0" applyNumberFormat="1" applyFont="1" applyBorder="1" applyAlignment="1">
      <alignment horizontal="center"/>
    </xf>
    <xf numFmtId="4" fontId="25" fillId="0" borderId="0" xfId="0" applyNumberFormat="1" applyFont="1" applyAlignment="1">
      <alignment/>
    </xf>
    <xf numFmtId="0" fontId="6" fillId="0" borderId="0" xfId="0" applyFont="1" applyAlignment="1">
      <alignment vertical="top" wrapText="1"/>
    </xf>
    <xf numFmtId="0" fontId="1" fillId="5" borderId="6" xfId="0" applyFont="1" applyFill="1" applyBorder="1" applyAlignment="1">
      <alignment horizontal="center"/>
    </xf>
    <xf numFmtId="0" fontId="2" fillId="0" borderId="0" xfId="0" applyFont="1" applyFill="1" applyAlignment="1">
      <alignment/>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4" fontId="1" fillId="2" borderId="1" xfId="0" applyNumberFormat="1" applyFont="1" applyFill="1" applyBorder="1" applyAlignment="1">
      <alignment horizontal="center" vertical="top" wrapText="1"/>
    </xf>
    <xf numFmtId="0" fontId="2" fillId="0" borderId="0" xfId="0" applyFont="1" applyAlignment="1">
      <alignment vertical="top" wrapText="1"/>
    </xf>
    <xf numFmtId="4" fontId="2" fillId="0" borderId="1" xfId="0" applyNumberFormat="1" applyFont="1" applyFill="1" applyBorder="1" applyAlignment="1">
      <alignment horizontal="right" vertical="top" wrapText="1"/>
    </xf>
    <xf numFmtId="0" fontId="2" fillId="0" borderId="0" xfId="0" applyFont="1" applyFill="1" applyAlignment="1">
      <alignment vertical="top" wrapText="1"/>
    </xf>
    <xf numFmtId="0" fontId="2" fillId="0" borderId="1" xfId="0" applyFont="1" applyFill="1" applyBorder="1" applyAlignment="1" quotePrefix="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quotePrefix="1">
      <alignment horizontal="center" vertical="center" wrapText="1"/>
    </xf>
    <xf numFmtId="0" fontId="1" fillId="0" borderId="0" xfId="0" applyFont="1" applyAlignment="1">
      <alignment horizontal="right" vertical="center" wrapText="1"/>
    </xf>
    <xf numFmtId="4" fontId="2" fillId="5" borderId="7" xfId="0" applyNumberFormat="1" applyFont="1" applyFill="1" applyBorder="1" applyAlignment="1">
      <alignment vertical="center" wrapText="1"/>
    </xf>
    <xf numFmtId="4" fontId="2" fillId="2" borderId="7" xfId="0" applyNumberFormat="1" applyFont="1" applyFill="1" applyBorder="1" applyAlignment="1">
      <alignment vertical="center" wrapText="1"/>
    </xf>
    <xf numFmtId="4" fontId="1" fillId="2" borderId="7" xfId="0" applyNumberFormat="1" applyFont="1" applyFill="1" applyBorder="1" applyAlignment="1">
      <alignment horizontal="center" vertical="center"/>
    </xf>
    <xf numFmtId="4" fontId="1" fillId="2" borderId="4" xfId="0" applyNumberFormat="1" applyFont="1" applyFill="1" applyBorder="1" applyAlignment="1">
      <alignment horizontal="center" vertical="top" wrapText="1"/>
    </xf>
    <xf numFmtId="4" fontId="2" fillId="0" borderId="7" xfId="0" applyNumberFormat="1" applyFont="1" applyBorder="1" applyAlignment="1">
      <alignment vertical="center" wrapText="1"/>
    </xf>
    <xf numFmtId="0" fontId="2" fillId="0" borderId="3" xfId="0" applyFont="1" applyFill="1" applyBorder="1" applyAlignment="1" quotePrefix="1">
      <alignment horizontal="center" vertical="top" wrapText="1"/>
    </xf>
    <xf numFmtId="0" fontId="2" fillId="0" borderId="3" xfId="0" applyFont="1" applyFill="1" applyBorder="1" applyAlignment="1">
      <alignment vertical="top" wrapText="1"/>
    </xf>
    <xf numFmtId="4" fontId="2" fillId="0" borderId="3" xfId="0" applyNumberFormat="1" applyFont="1" applyFill="1" applyBorder="1" applyAlignment="1">
      <alignment horizontal="right" vertical="top" wrapText="1"/>
    </xf>
    <xf numFmtId="0" fontId="1" fillId="5" borderId="7" xfId="0" applyFont="1" applyFill="1" applyBorder="1" applyAlignment="1">
      <alignment horizontal="center"/>
    </xf>
    <xf numFmtId="0" fontId="2" fillId="0" borderId="7" xfId="0" applyFont="1" applyBorder="1" applyAlignment="1" quotePrefix="1">
      <alignment horizontal="center" vertical="center" wrapText="1"/>
    </xf>
    <xf numFmtId="4" fontId="2" fillId="0" borderId="7"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4" fontId="1" fillId="0" borderId="1" xfId="0" applyNumberFormat="1" applyFont="1" applyBorder="1" applyAlignment="1">
      <alignment vertical="center"/>
    </xf>
    <xf numFmtId="0" fontId="1" fillId="0" borderId="17" xfId="0" applyFont="1" applyBorder="1" applyAlignment="1">
      <alignment horizontal="center" vertical="center" wrapText="1"/>
    </xf>
    <xf numFmtId="0" fontId="20" fillId="0" borderId="0" xfId="0" applyFont="1" applyAlignment="1">
      <alignment/>
    </xf>
    <xf numFmtId="4" fontId="1" fillId="0" borderId="0" xfId="0" applyNumberFormat="1" applyFont="1" applyAlignment="1">
      <alignment/>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2"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4" fontId="5" fillId="7" borderId="4" xfId="0" applyNumberFormat="1" applyFont="1" applyFill="1" applyBorder="1" applyAlignment="1">
      <alignment horizontal="center" vertical="center" wrapText="1"/>
    </xf>
    <xf numFmtId="4" fontId="2" fillId="0" borderId="19" xfId="0" applyNumberFormat="1" applyFont="1" applyBorder="1" applyAlignment="1">
      <alignment vertical="center" wrapText="1"/>
    </xf>
    <xf numFmtId="4" fontId="2" fillId="0" borderId="12" xfId="0" applyNumberFormat="1" applyFont="1" applyBorder="1" applyAlignment="1">
      <alignment vertical="center" wrapText="1"/>
    </xf>
    <xf numFmtId="4" fontId="2" fillId="0" borderId="12" xfId="0" applyNumberFormat="1" applyFont="1" applyFill="1" applyBorder="1" applyAlignment="1">
      <alignment vertical="center" wrapText="1"/>
    </xf>
    <xf numFmtId="4" fontId="2" fillId="0" borderId="12" xfId="0" applyNumberFormat="1" applyFont="1" applyFill="1" applyBorder="1" applyAlignment="1">
      <alignment wrapText="1"/>
    </xf>
    <xf numFmtId="0" fontId="0" fillId="0" borderId="12" xfId="0" applyBorder="1" applyAlignment="1">
      <alignment/>
    </xf>
    <xf numFmtId="0" fontId="2" fillId="0" borderId="12" xfId="0" applyFont="1" applyBorder="1" applyAlignment="1">
      <alignment vertical="center" wrapText="1"/>
    </xf>
    <xf numFmtId="4" fontId="1" fillId="0" borderId="12" xfId="0" applyNumberFormat="1" applyFont="1" applyBorder="1" applyAlignment="1">
      <alignment horizontal="left" vertical="center" wrapText="1"/>
    </xf>
    <xf numFmtId="4" fontId="2" fillId="0" borderId="20" xfId="0" applyNumberFormat="1" applyFont="1" applyFill="1" applyBorder="1" applyAlignment="1">
      <alignment vertical="center" wrapText="1"/>
    </xf>
    <xf numFmtId="0" fontId="2" fillId="0" borderId="21" xfId="0" applyFont="1" applyBorder="1" applyAlignment="1">
      <alignment horizontal="left"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center" vertical="top" wrapText="1"/>
    </xf>
    <xf numFmtId="4" fontId="2" fillId="0" borderId="3" xfId="0" applyNumberFormat="1" applyFont="1" applyBorder="1" applyAlignment="1">
      <alignment/>
    </xf>
    <xf numFmtId="0" fontId="2" fillId="3" borderId="7" xfId="0" applyFont="1" applyFill="1" applyBorder="1" applyAlignment="1">
      <alignment/>
    </xf>
    <xf numFmtId="0" fontId="24" fillId="0" borderId="0" xfId="0" applyFont="1" applyAlignment="1">
      <alignment/>
    </xf>
    <xf numFmtId="4" fontId="3" fillId="0" borderId="1" xfId="0" applyNumberFormat="1" applyFont="1" applyBorder="1" applyAlignment="1">
      <alignment vertical="center" wrapText="1"/>
    </xf>
    <xf numFmtId="0" fontId="1" fillId="0" borderId="1" xfId="0" applyFont="1" applyBorder="1" applyAlignment="1">
      <alignment horizontal="left" vertical="center" wrapText="1"/>
    </xf>
    <xf numFmtId="0" fontId="2" fillId="0" borderId="1" xfId="0" applyFont="1" applyFill="1" applyBorder="1" applyAlignment="1">
      <alignment vertical="center" wrapText="1"/>
    </xf>
    <xf numFmtId="4" fontId="26" fillId="0" borderId="12" xfId="0" applyNumberFormat="1" applyFont="1" applyBorder="1" applyAlignment="1">
      <alignment horizontal="left" vertical="center" wrapText="1"/>
    </xf>
    <xf numFmtId="0" fontId="14" fillId="0" borderId="0" xfId="0" applyFont="1" applyAlignment="1">
      <alignment/>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1" fillId="0" borderId="4" xfId="0" applyNumberFormat="1" applyFont="1" applyBorder="1" applyAlignment="1">
      <alignment horizontal="right" vertical="center" wrapText="1"/>
    </xf>
    <xf numFmtId="4" fontId="2" fillId="0" borderId="4" xfId="0" applyNumberFormat="1" applyFont="1" applyBorder="1" applyAlignment="1">
      <alignment horizontal="righ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4" fontId="2" fillId="0"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4" fontId="1" fillId="0" borderId="1" xfId="0" applyNumberFormat="1" applyFont="1" applyBorder="1" applyAlignment="1">
      <alignment horizontal="center" vertical="center" wrapText="1"/>
    </xf>
    <xf numFmtId="0" fontId="0" fillId="0" borderId="0" xfId="0" applyAlignment="1">
      <alignment vertical="center" wrapText="1"/>
    </xf>
    <xf numFmtId="4" fontId="2" fillId="0" borderId="1" xfId="0" applyNumberFormat="1" applyFont="1" applyBorder="1" applyAlignment="1">
      <alignment horizontal="right" vertical="center" wrapText="1"/>
    </xf>
    <xf numFmtId="0" fontId="1" fillId="0" borderId="24" xfId="0" applyFont="1" applyBorder="1" applyAlignment="1">
      <alignment horizontal="center" vertical="top" wrapText="1"/>
    </xf>
    <xf numFmtId="0" fontId="1" fillId="5" borderId="6" xfId="0" applyFont="1" applyFill="1" applyBorder="1" applyAlignment="1">
      <alignment vertical="center"/>
    </xf>
    <xf numFmtId="4" fontId="5" fillId="2" borderId="1" xfId="0" applyNumberFormat="1" applyFont="1" applyFill="1" applyBorder="1" applyAlignment="1">
      <alignment vertical="center" wrapText="1"/>
    </xf>
    <xf numFmtId="4" fontId="2" fillId="0" borderId="12" xfId="0" applyNumberFormat="1" applyFont="1" applyBorder="1" applyAlignment="1">
      <alignment horizontal="left" vertical="center" wrapText="1"/>
    </xf>
    <xf numFmtId="4" fontId="1" fillId="0" borderId="0" xfId="0" applyNumberFormat="1" applyFont="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0" fontId="1" fillId="6" borderId="2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9" xfId="0" applyFont="1" applyFill="1" applyBorder="1" applyAlignment="1">
      <alignment horizontal="center" vertical="center" wrapText="1"/>
    </xf>
    <xf numFmtId="4" fontId="2" fillId="6" borderId="2" xfId="0" applyNumberFormat="1" applyFont="1" applyFill="1" applyBorder="1" applyAlignment="1">
      <alignment vertical="center" wrapText="1"/>
    </xf>
    <xf numFmtId="4" fontId="2" fillId="6" borderId="12" xfId="0" applyNumberFormat="1" applyFont="1" applyFill="1" applyBorder="1" applyAlignment="1">
      <alignment vertical="center" wrapText="1"/>
    </xf>
    <xf numFmtId="0" fontId="1" fillId="6" borderId="1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9" xfId="0" applyFont="1" applyFill="1" applyBorder="1" applyAlignment="1">
      <alignment horizontal="center" vertical="center" wrapText="1"/>
    </xf>
    <xf numFmtId="4" fontId="2" fillId="2" borderId="2" xfId="0" applyNumberFormat="1" applyFont="1" applyFill="1" applyBorder="1" applyAlignment="1">
      <alignment vertical="center" wrapText="1"/>
    </xf>
    <xf numFmtId="4" fontId="2" fillId="2" borderId="12" xfId="0" applyNumberFormat="1" applyFont="1" applyFill="1" applyBorder="1" applyAlignment="1">
      <alignment vertical="center" wrapText="1"/>
    </xf>
    <xf numFmtId="0" fontId="1" fillId="3" borderId="2" xfId="0" applyFont="1" applyFill="1" applyBorder="1" applyAlignment="1">
      <alignment horizontal="center" vertical="center" wrapText="1"/>
    </xf>
    <xf numFmtId="4" fontId="2" fillId="3" borderId="2" xfId="0" applyNumberFormat="1" applyFont="1" applyFill="1" applyBorder="1" applyAlignment="1">
      <alignment vertical="center" wrapText="1"/>
    </xf>
    <xf numFmtId="4" fontId="5" fillId="3" borderId="4" xfId="0" applyNumberFormat="1" applyFont="1" applyFill="1" applyBorder="1" applyAlignment="1">
      <alignment horizontal="center" vertical="center" wrapText="1"/>
    </xf>
    <xf numFmtId="4" fontId="2" fillId="0" borderId="13" xfId="0" applyNumberFormat="1" applyFont="1" applyBorder="1" applyAlignment="1">
      <alignment vertical="center" wrapText="1"/>
    </xf>
    <xf numFmtId="0" fontId="5" fillId="0" borderId="6" xfId="0" applyFont="1" applyBorder="1" applyAlignment="1">
      <alignment horizontal="center" vertical="center" wrapText="1"/>
    </xf>
    <xf numFmtId="0" fontId="5" fillId="0" borderId="25" xfId="0" applyFont="1" applyBorder="1" applyAlignment="1">
      <alignment horizontal="center" vertical="center" wrapText="1"/>
    </xf>
    <xf numFmtId="0" fontId="27" fillId="0" borderId="0" xfId="0" applyFont="1" applyAlignment="1">
      <alignment vertical="center" wrapText="1"/>
    </xf>
    <xf numFmtId="4" fontId="1" fillId="0" borderId="1" xfId="0" applyNumberFormat="1" applyFont="1" applyBorder="1" applyAlignment="1">
      <alignment horizontal="right" vertical="center" wrapText="1"/>
    </xf>
    <xf numFmtId="4" fontId="1" fillId="3" borderId="1" xfId="0" applyNumberFormat="1" applyFont="1" applyFill="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8" fillId="0" borderId="0" xfId="0" applyFont="1" applyAlignment="1">
      <alignment horizont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0" xfId="0" applyFont="1" applyBorder="1" applyAlignment="1">
      <alignment horizontal="center" vertical="top" wrapText="1"/>
    </xf>
    <xf numFmtId="0" fontId="1" fillId="0" borderId="24" xfId="0" applyFont="1" applyBorder="1" applyAlignment="1">
      <alignment horizontal="center" vertical="top" wrapText="1"/>
    </xf>
    <xf numFmtId="0" fontId="1" fillId="0" borderId="2" xfId="0" applyFont="1" applyBorder="1" applyAlignment="1">
      <alignment horizontal="center" vertical="top" wrapText="1"/>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6" borderId="2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4" fontId="2" fillId="0" borderId="3" xfId="0" applyNumberFormat="1" applyFont="1" applyBorder="1" applyAlignment="1">
      <alignment horizontal="left" vertical="center" wrapText="1"/>
    </xf>
    <xf numFmtId="4" fontId="2" fillId="0" borderId="4" xfId="0" applyNumberFormat="1" applyFont="1" applyBorder="1" applyAlignment="1">
      <alignment horizontal="left"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 fontId="2" fillId="0" borderId="19" xfId="0" applyNumberFormat="1" applyFont="1" applyBorder="1" applyAlignment="1">
      <alignment horizontal="left" vertical="center" wrapText="1"/>
    </xf>
    <xf numFmtId="4" fontId="2" fillId="0" borderId="36" xfId="0" applyNumberFormat="1" applyFont="1" applyBorder="1" applyAlignment="1">
      <alignment horizontal="left" vertical="center" wrapText="1"/>
    </xf>
    <xf numFmtId="4" fontId="2" fillId="0" borderId="13" xfId="0" applyNumberFormat="1" applyFont="1" applyBorder="1" applyAlignment="1">
      <alignment horizontal="left" vertical="center" wrapText="1"/>
    </xf>
    <xf numFmtId="4" fontId="1" fillId="0" borderId="19" xfId="0" applyNumberFormat="1" applyFont="1" applyBorder="1" applyAlignment="1">
      <alignment horizontal="left" vertical="center" wrapText="1"/>
    </xf>
    <xf numFmtId="4" fontId="2" fillId="0" borderId="19" xfId="0" applyNumberFormat="1" applyFont="1" applyFill="1" applyBorder="1" applyAlignment="1">
      <alignment horizontal="left" vertical="center" wrapText="1"/>
    </xf>
    <xf numFmtId="4" fontId="2" fillId="0" borderId="13" xfId="0" applyNumberFormat="1" applyFont="1" applyFill="1" applyBorder="1" applyAlignment="1">
      <alignment horizontal="left" vertical="center" wrapText="1"/>
    </xf>
    <xf numFmtId="0" fontId="1" fillId="0" borderId="0" xfId="0" applyFont="1" applyAlignment="1">
      <alignment horizontal="right"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 xfId="0" applyFont="1" applyFill="1" applyBorder="1" applyAlignment="1">
      <alignment horizontal="center" vertical="center" wrapText="1"/>
    </xf>
    <xf numFmtId="4" fontId="2" fillId="0" borderId="3" xfId="0" applyNumberFormat="1" applyFont="1" applyBorder="1" applyAlignment="1">
      <alignment horizontal="right" vertical="center" wrapText="1"/>
    </xf>
    <xf numFmtId="4" fontId="2" fillId="0" borderId="4"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0" xfId="0" applyFont="1" applyAlignment="1">
      <alignment horizontal="center" vertical="center"/>
    </xf>
    <xf numFmtId="0" fontId="1"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3" borderId="20" xfId="0" applyNumberFormat="1"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4" fontId="2" fillId="0" borderId="3"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4" fontId="15" fillId="0" borderId="3" xfId="0" applyNumberFormat="1" applyFont="1" applyBorder="1" applyAlignment="1">
      <alignment horizontal="left" vertical="center" wrapText="1"/>
    </xf>
    <xf numFmtId="4" fontId="15" fillId="0" borderId="7" xfId="0" applyNumberFormat="1" applyFont="1" applyBorder="1" applyAlignment="1">
      <alignment horizontal="left" vertical="center" wrapText="1"/>
    </xf>
    <xf numFmtId="4" fontId="15" fillId="0" borderId="4" xfId="0" applyNumberFormat="1" applyFont="1" applyBorder="1" applyAlignment="1">
      <alignment horizontal="left" vertical="center" wrapText="1"/>
    </xf>
    <xf numFmtId="0" fontId="1" fillId="0" borderId="0" xfId="0" applyFont="1" applyAlignment="1">
      <alignment horizontal="center" vertical="center" wrapText="1"/>
    </xf>
    <xf numFmtId="0" fontId="14" fillId="0" borderId="0" xfId="0" applyFont="1" applyAlignment="1">
      <alignment horizontal="center"/>
    </xf>
    <xf numFmtId="4" fontId="2" fillId="0" borderId="3" xfId="0" applyNumberFormat="1" applyFont="1" applyFill="1" applyBorder="1" applyAlignment="1">
      <alignment horizontal="left" vertical="center" wrapText="1"/>
    </xf>
    <xf numFmtId="4" fontId="2" fillId="0" borderId="8" xfId="0" applyNumberFormat="1" applyFont="1" applyFill="1" applyBorder="1" applyAlignment="1">
      <alignment horizontal="left" vertical="center" wrapText="1"/>
    </xf>
    <xf numFmtId="4" fontId="2" fillId="0" borderId="7" xfId="0" applyNumberFormat="1" applyFont="1" applyBorder="1" applyAlignment="1">
      <alignment horizontal="left" vertical="center" wrapText="1"/>
    </xf>
    <xf numFmtId="4" fontId="2" fillId="0" borderId="8" xfId="0" applyNumberFormat="1" applyFont="1" applyBorder="1" applyAlignment="1">
      <alignment horizontal="left" vertical="center" wrapText="1"/>
    </xf>
    <xf numFmtId="0" fontId="1" fillId="2" borderId="2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2"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23" fillId="0" borderId="0" xfId="0" applyFont="1" applyAlignment="1">
      <alignment horizontal="center"/>
    </xf>
    <xf numFmtId="0" fontId="5" fillId="0" borderId="0" xfId="0" applyFont="1" applyAlignment="1">
      <alignment horizont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5"/>
  <dimension ref="A1:H106"/>
  <sheetViews>
    <sheetView workbookViewId="0" topLeftCell="A1">
      <pane ySplit="5" topLeftCell="BM31" activePane="bottomLeft" state="frozen"/>
      <selection pane="topLeft" activeCell="A1" sqref="A1"/>
      <selection pane="bottomLeft" activeCell="E101" sqref="E101"/>
    </sheetView>
  </sheetViews>
  <sheetFormatPr defaultColWidth="9.00390625" defaultRowHeight="12.75"/>
  <cols>
    <col min="1" max="1" width="5.00390625" style="68" customWidth="1"/>
    <col min="2" max="2" width="6.75390625" style="68" customWidth="1"/>
    <col min="3" max="3" width="4.375" style="68" bestFit="1" customWidth="1"/>
    <col min="4" max="4" width="49.125" style="68" customWidth="1"/>
    <col min="5" max="5" width="16.625" style="96" customWidth="1"/>
    <col min="6" max="6" width="42.25390625" style="68" customWidth="1"/>
    <col min="7" max="7" width="11.25390625" style="68" bestFit="1" customWidth="1"/>
    <col min="8" max="16384" width="9.125" style="68" customWidth="1"/>
  </cols>
  <sheetData>
    <row r="1" spans="1:6" ht="25.5">
      <c r="A1" s="66" t="s">
        <v>310</v>
      </c>
      <c r="B1" s="69"/>
      <c r="C1" s="69"/>
      <c r="E1" s="92"/>
      <c r="F1" s="55" t="s">
        <v>172</v>
      </c>
    </row>
    <row r="2" spans="1:3" ht="13.5" thickBot="1">
      <c r="A2" s="71"/>
      <c r="B2" s="69"/>
      <c r="C2" s="69"/>
    </row>
    <row r="3" spans="1:6" s="73" customFormat="1" ht="47.25" customHeight="1">
      <c r="A3" s="300" t="s">
        <v>389</v>
      </c>
      <c r="B3" s="300" t="s">
        <v>390</v>
      </c>
      <c r="C3" s="300" t="s">
        <v>391</v>
      </c>
      <c r="D3" s="300" t="s">
        <v>392</v>
      </c>
      <c r="E3" s="300" t="s">
        <v>98</v>
      </c>
      <c r="F3" s="300"/>
    </row>
    <row r="4" spans="1:6" s="164" customFormat="1" ht="16.5" thickBot="1">
      <c r="A4" s="301"/>
      <c r="B4" s="301"/>
      <c r="C4" s="301"/>
      <c r="D4" s="301"/>
      <c r="E4" s="301"/>
      <c r="F4" s="301"/>
    </row>
    <row r="5" spans="1:6" s="76" customFormat="1" ht="12.75">
      <c r="A5" s="74"/>
      <c r="B5" s="74"/>
      <c r="C5" s="74"/>
      <c r="D5" s="74"/>
      <c r="E5" s="74"/>
      <c r="F5" s="242"/>
    </row>
    <row r="6" spans="1:6" s="7" customFormat="1" ht="12.75">
      <c r="A6" s="22" t="s">
        <v>454</v>
      </c>
      <c r="B6" s="10"/>
      <c r="C6" s="10"/>
      <c r="D6" s="12" t="s">
        <v>455</v>
      </c>
      <c r="E6" s="13">
        <f>E7</f>
        <v>9000</v>
      </c>
      <c r="F6" s="14"/>
    </row>
    <row r="7" spans="1:6" s="7" customFormat="1" ht="12.75">
      <c r="A7" s="3"/>
      <c r="B7" s="28" t="s">
        <v>228</v>
      </c>
      <c r="C7" s="3"/>
      <c r="D7" s="29" t="s">
        <v>406</v>
      </c>
      <c r="E7" s="238">
        <f>E8</f>
        <v>9000</v>
      </c>
      <c r="F7" s="9"/>
    </row>
    <row r="8" spans="1:6" s="7" customFormat="1" ht="25.5">
      <c r="A8" s="3"/>
      <c r="B8" s="4"/>
      <c r="C8" s="21" t="s">
        <v>268</v>
      </c>
      <c r="D8" s="8" t="s">
        <v>118</v>
      </c>
      <c r="E8" s="15">
        <v>9000</v>
      </c>
      <c r="F8" s="9" t="s">
        <v>334</v>
      </c>
    </row>
    <row r="9" spans="1:6" s="7" customFormat="1" ht="12.75">
      <c r="A9" s="22" t="s">
        <v>458</v>
      </c>
      <c r="B9" s="11"/>
      <c r="C9" s="11"/>
      <c r="D9" s="12" t="s">
        <v>407</v>
      </c>
      <c r="E9" s="13">
        <f>SUM(E10)</f>
        <v>3800</v>
      </c>
      <c r="F9" s="14"/>
    </row>
    <row r="10" spans="1:6" s="7" customFormat="1" ht="12.75">
      <c r="A10" s="3"/>
      <c r="B10" s="28" t="s">
        <v>477</v>
      </c>
      <c r="C10" s="3"/>
      <c r="D10" s="29" t="s">
        <v>406</v>
      </c>
      <c r="E10" s="26">
        <f>SUM(E11)</f>
        <v>3800</v>
      </c>
      <c r="F10" s="27"/>
    </row>
    <row r="11" spans="1:6" s="7" customFormat="1" ht="51">
      <c r="A11" s="3"/>
      <c r="B11" s="4"/>
      <c r="C11" s="21" t="s">
        <v>270</v>
      </c>
      <c r="D11" s="8" t="s">
        <v>173</v>
      </c>
      <c r="E11" s="15">
        <v>3800</v>
      </c>
      <c r="F11" s="9" t="s">
        <v>335</v>
      </c>
    </row>
    <row r="12" spans="1:6" s="7" customFormat="1" ht="25.5">
      <c r="A12" s="22">
        <v>400</v>
      </c>
      <c r="B12" s="10"/>
      <c r="C12" s="10"/>
      <c r="D12" s="12" t="s">
        <v>179</v>
      </c>
      <c r="E12" s="13">
        <f>E13</f>
        <v>37600</v>
      </c>
      <c r="F12" s="14"/>
    </row>
    <row r="13" spans="1:6" s="7" customFormat="1" ht="12.75">
      <c r="A13" s="3"/>
      <c r="B13" s="28">
        <v>40002</v>
      </c>
      <c r="C13" s="3"/>
      <c r="D13" s="29" t="s">
        <v>180</v>
      </c>
      <c r="E13" s="26">
        <f>E14</f>
        <v>37600</v>
      </c>
      <c r="F13" s="27"/>
    </row>
    <row r="14" spans="1:6" s="7" customFormat="1" ht="38.25">
      <c r="A14" s="3"/>
      <c r="B14" s="4"/>
      <c r="C14" s="21" t="s">
        <v>248</v>
      </c>
      <c r="D14" s="8" t="s">
        <v>13</v>
      </c>
      <c r="E14" s="15">
        <f>17600+20000</f>
        <v>37600</v>
      </c>
      <c r="F14" s="9" t="s">
        <v>336</v>
      </c>
    </row>
    <row r="15" spans="1:6" s="7" customFormat="1" ht="12.75">
      <c r="A15" s="10">
        <v>700</v>
      </c>
      <c r="B15" s="10"/>
      <c r="C15" s="10"/>
      <c r="D15" s="12" t="s">
        <v>410</v>
      </c>
      <c r="E15" s="13">
        <f>E16</f>
        <v>317927</v>
      </c>
      <c r="F15" s="14"/>
    </row>
    <row r="16" spans="1:6" s="7" customFormat="1" ht="12.75">
      <c r="A16" s="3"/>
      <c r="B16" s="3">
        <v>70005</v>
      </c>
      <c r="C16" s="3"/>
      <c r="D16" s="29" t="s">
        <v>419</v>
      </c>
      <c r="E16" s="24">
        <f>SUM(E17:E21)</f>
        <v>317927</v>
      </c>
      <c r="F16" s="6"/>
    </row>
    <row r="17" spans="1:6" s="7" customFormat="1" ht="25.5">
      <c r="A17" s="3"/>
      <c r="B17" s="4"/>
      <c r="C17" s="21" t="s">
        <v>271</v>
      </c>
      <c r="D17" s="8" t="s">
        <v>480</v>
      </c>
      <c r="E17" s="15">
        <v>26200</v>
      </c>
      <c r="F17" s="9" t="s">
        <v>339</v>
      </c>
    </row>
    <row r="18" spans="1:6" s="7" customFormat="1" ht="76.5" customHeight="1">
      <c r="A18" s="3"/>
      <c r="B18" s="4"/>
      <c r="C18" s="21" t="s">
        <v>270</v>
      </c>
      <c r="D18" s="8" t="s">
        <v>173</v>
      </c>
      <c r="E18" s="15">
        <f>14408+492+342+2788+36000+19150+100</f>
        <v>73280</v>
      </c>
      <c r="F18" s="9" t="s">
        <v>340</v>
      </c>
    </row>
    <row r="19" spans="1:6" s="7" customFormat="1" ht="25.5">
      <c r="A19" s="3"/>
      <c r="B19" s="4"/>
      <c r="C19" s="21" t="s">
        <v>269</v>
      </c>
      <c r="D19" s="8" t="s">
        <v>52</v>
      </c>
      <c r="E19" s="15">
        <f>12645+150000+50000</f>
        <v>212645</v>
      </c>
      <c r="F19" s="9" t="s">
        <v>306</v>
      </c>
    </row>
    <row r="20" spans="1:6" s="7" customFormat="1" ht="12.75">
      <c r="A20" s="3"/>
      <c r="B20" s="4"/>
      <c r="C20" s="21" t="s">
        <v>249</v>
      </c>
      <c r="D20" s="8" t="s">
        <v>492</v>
      </c>
      <c r="E20" s="15">
        <v>100</v>
      </c>
      <c r="F20" s="9"/>
    </row>
    <row r="21" spans="1:6" s="7" customFormat="1" ht="12.75">
      <c r="A21" s="3"/>
      <c r="B21" s="4"/>
      <c r="C21" s="21" t="s">
        <v>251</v>
      </c>
      <c r="D21" s="8" t="s">
        <v>481</v>
      </c>
      <c r="E21" s="15">
        <v>5702</v>
      </c>
      <c r="F21" s="9" t="s">
        <v>341</v>
      </c>
    </row>
    <row r="22" spans="1:6" s="7" customFormat="1" ht="12.75">
      <c r="A22" s="10">
        <v>750</v>
      </c>
      <c r="B22" s="10"/>
      <c r="C22" s="10"/>
      <c r="D22" s="12" t="s">
        <v>461</v>
      </c>
      <c r="E22" s="13">
        <f>E23+E26</f>
        <v>58900</v>
      </c>
      <c r="F22" s="14"/>
    </row>
    <row r="23" spans="1:6" s="7" customFormat="1" ht="12.75">
      <c r="A23" s="3"/>
      <c r="B23" s="3">
        <v>75011</v>
      </c>
      <c r="C23" s="3"/>
      <c r="D23" s="29" t="s">
        <v>426</v>
      </c>
      <c r="E23" s="26">
        <f>SUM(E24:E25)</f>
        <v>53900</v>
      </c>
      <c r="F23" s="27"/>
    </row>
    <row r="24" spans="1:6" s="7" customFormat="1" ht="38.25">
      <c r="A24" s="3"/>
      <c r="B24" s="4"/>
      <c r="C24" s="4">
        <v>2010</v>
      </c>
      <c r="D24" s="8" t="s">
        <v>482</v>
      </c>
      <c r="E24" s="15">
        <v>53000</v>
      </c>
      <c r="F24" s="9" t="s">
        <v>128</v>
      </c>
    </row>
    <row r="25" spans="1:6" s="7" customFormat="1" ht="38.25">
      <c r="A25" s="3"/>
      <c r="B25" s="4"/>
      <c r="C25" s="4">
        <v>2360</v>
      </c>
      <c r="D25" s="8" t="s">
        <v>99</v>
      </c>
      <c r="E25" s="15">
        <v>900</v>
      </c>
      <c r="F25" s="9" t="s">
        <v>379</v>
      </c>
    </row>
    <row r="26" spans="1:6" s="7" customFormat="1" ht="12.75">
      <c r="A26" s="3"/>
      <c r="B26" s="3">
        <v>75023</v>
      </c>
      <c r="C26" s="3"/>
      <c r="D26" s="29" t="s">
        <v>427</v>
      </c>
      <c r="E26" s="26">
        <f>SUM(E27:E27)</f>
        <v>5000</v>
      </c>
      <c r="F26" s="27"/>
    </row>
    <row r="27" spans="1:6" s="7" customFormat="1" ht="18.75" customHeight="1">
      <c r="A27" s="4"/>
      <c r="B27" s="4"/>
      <c r="C27" s="21" t="s">
        <v>268</v>
      </c>
      <c r="D27" s="8" t="s">
        <v>118</v>
      </c>
      <c r="E27" s="15">
        <v>5000</v>
      </c>
      <c r="F27" s="9" t="s">
        <v>380</v>
      </c>
    </row>
    <row r="28" spans="1:6" s="7" customFormat="1" ht="25.5">
      <c r="A28" s="10">
        <v>751</v>
      </c>
      <c r="B28" s="11"/>
      <c r="C28" s="11"/>
      <c r="D28" s="12" t="s">
        <v>462</v>
      </c>
      <c r="E28" s="13">
        <f>E29</f>
        <v>1053</v>
      </c>
      <c r="F28" s="14"/>
    </row>
    <row r="29" spans="1:6" s="18" customFormat="1" ht="25.5">
      <c r="A29" s="16"/>
      <c r="B29" s="16">
        <v>75101</v>
      </c>
      <c r="C29" s="16"/>
      <c r="D29" s="30" t="s">
        <v>120</v>
      </c>
      <c r="E29" s="24">
        <f>E30</f>
        <v>1053</v>
      </c>
      <c r="F29" s="6"/>
    </row>
    <row r="30" spans="1:6" s="18" customFormat="1" ht="51">
      <c r="A30" s="16"/>
      <c r="B30" s="17"/>
      <c r="C30" s="4">
        <v>2010</v>
      </c>
      <c r="D30" s="8" t="s">
        <v>482</v>
      </c>
      <c r="E30" s="31">
        <v>1053</v>
      </c>
      <c r="F30" s="25" t="s">
        <v>129</v>
      </c>
    </row>
    <row r="31" spans="1:6" s="7" customFormat="1" ht="12.75">
      <c r="A31" s="10">
        <v>754</v>
      </c>
      <c r="B31" s="10"/>
      <c r="C31" s="10"/>
      <c r="D31" s="12" t="s">
        <v>463</v>
      </c>
      <c r="E31" s="13">
        <f>E32</f>
        <v>400</v>
      </c>
      <c r="F31" s="14"/>
    </row>
    <row r="32" spans="1:6" s="7" customFormat="1" ht="12.75">
      <c r="A32" s="3"/>
      <c r="B32" s="3">
        <v>75414</v>
      </c>
      <c r="C32" s="3"/>
      <c r="D32" s="29" t="s">
        <v>428</v>
      </c>
      <c r="E32" s="26">
        <f>SUM(E33)</f>
        <v>400</v>
      </c>
      <c r="F32" s="27"/>
    </row>
    <row r="33" spans="1:6" s="7" customFormat="1" ht="38.25">
      <c r="A33" s="3"/>
      <c r="B33" s="4"/>
      <c r="C33" s="4">
        <v>2010</v>
      </c>
      <c r="D33" s="8" t="s">
        <v>482</v>
      </c>
      <c r="E33" s="15">
        <v>400</v>
      </c>
      <c r="F33" s="9" t="s">
        <v>128</v>
      </c>
    </row>
    <row r="34" spans="1:6" s="7" customFormat="1" ht="38.25">
      <c r="A34" s="10">
        <v>756</v>
      </c>
      <c r="B34" s="10"/>
      <c r="C34" s="10"/>
      <c r="D34" s="12" t="s">
        <v>47</v>
      </c>
      <c r="E34" s="13">
        <f>E35+E45+E56+E62+E38</f>
        <v>5915391</v>
      </c>
      <c r="F34" s="14"/>
    </row>
    <row r="35" spans="1:6" s="18" customFormat="1" ht="12.75">
      <c r="A35" s="16"/>
      <c r="B35" s="16">
        <v>75601</v>
      </c>
      <c r="C35" s="16"/>
      <c r="D35" s="30" t="s">
        <v>182</v>
      </c>
      <c r="E35" s="24">
        <f>E36+E37</f>
        <v>7100</v>
      </c>
      <c r="F35" s="6"/>
    </row>
    <row r="36" spans="1:6" s="7" customFormat="1" ht="25.5">
      <c r="A36" s="3"/>
      <c r="B36" s="4"/>
      <c r="C36" s="21" t="s">
        <v>267</v>
      </c>
      <c r="D36" s="8" t="s">
        <v>489</v>
      </c>
      <c r="E36" s="15">
        <v>7000</v>
      </c>
      <c r="F36" s="9"/>
    </row>
    <row r="37" spans="1:6" s="7" customFormat="1" ht="12.75">
      <c r="A37" s="3"/>
      <c r="B37" s="4"/>
      <c r="C37" s="21" t="s">
        <v>249</v>
      </c>
      <c r="D37" s="8" t="s">
        <v>492</v>
      </c>
      <c r="E37" s="15">
        <v>100</v>
      </c>
      <c r="F37" s="9"/>
    </row>
    <row r="38" spans="1:6" s="7" customFormat="1" ht="38.25">
      <c r="A38" s="3"/>
      <c r="B38" s="3">
        <v>75615</v>
      </c>
      <c r="C38" s="3"/>
      <c r="D38" s="29" t="s">
        <v>48</v>
      </c>
      <c r="E38" s="238">
        <f>SUM(E39:E44)</f>
        <v>2088312</v>
      </c>
      <c r="F38" s="9"/>
    </row>
    <row r="39" spans="1:7" s="7" customFormat="1" ht="12.75">
      <c r="A39" s="3"/>
      <c r="B39" s="4"/>
      <c r="C39" s="21" t="s">
        <v>266</v>
      </c>
      <c r="D39" s="8" t="s">
        <v>485</v>
      </c>
      <c r="E39" s="15">
        <f>1617925+20000</f>
        <v>1637925</v>
      </c>
      <c r="F39" s="9"/>
      <c r="G39" s="20" t="e">
        <f>E39-#REF!</f>
        <v>#REF!</v>
      </c>
    </row>
    <row r="40" spans="1:7" s="7" customFormat="1" ht="12.75">
      <c r="A40" s="3"/>
      <c r="B40" s="4"/>
      <c r="C40" s="21" t="s">
        <v>265</v>
      </c>
      <c r="D40" s="8" t="s">
        <v>483</v>
      </c>
      <c r="E40" s="15">
        <v>401633</v>
      </c>
      <c r="F40" s="9"/>
      <c r="G40" s="20" t="e">
        <f>E40-#REF!</f>
        <v>#REF!</v>
      </c>
    </row>
    <row r="41" spans="1:6" s="7" customFormat="1" ht="12.75">
      <c r="A41" s="3"/>
      <c r="B41" s="4"/>
      <c r="C41" s="21" t="s">
        <v>264</v>
      </c>
      <c r="D41" s="8" t="s">
        <v>484</v>
      </c>
      <c r="E41" s="15">
        <v>27754</v>
      </c>
      <c r="F41" s="9"/>
    </row>
    <row r="42" spans="1:6" s="7" customFormat="1" ht="12.75">
      <c r="A42" s="3"/>
      <c r="B42" s="4"/>
      <c r="C42" s="21" t="s">
        <v>262</v>
      </c>
      <c r="D42" s="8" t="s">
        <v>486</v>
      </c>
      <c r="E42" s="15">
        <v>10000</v>
      </c>
      <c r="F42" s="9"/>
    </row>
    <row r="43" spans="1:6" s="7" customFormat="1" ht="12.75">
      <c r="A43" s="3"/>
      <c r="B43" s="4"/>
      <c r="C43" s="21" t="s">
        <v>257</v>
      </c>
      <c r="D43" s="8" t="s">
        <v>14</v>
      </c>
      <c r="E43" s="15">
        <v>10000</v>
      </c>
      <c r="F43" s="9"/>
    </row>
    <row r="44" spans="1:6" s="7" customFormat="1" ht="12.75">
      <c r="A44" s="3"/>
      <c r="B44" s="4"/>
      <c r="C44" s="21" t="s">
        <v>249</v>
      </c>
      <c r="D44" s="8" t="s">
        <v>492</v>
      </c>
      <c r="E44" s="15">
        <v>1000</v>
      </c>
      <c r="F44" s="9"/>
    </row>
    <row r="45" spans="1:8" s="7" customFormat="1" ht="51">
      <c r="A45" s="3"/>
      <c r="B45" s="3">
        <v>75616</v>
      </c>
      <c r="C45" s="3"/>
      <c r="D45" s="29" t="s">
        <v>49</v>
      </c>
      <c r="E45" s="26">
        <f>SUM(E46:E55)</f>
        <v>1458824</v>
      </c>
      <c r="F45" s="27"/>
      <c r="H45" s="20"/>
    </row>
    <row r="46" spans="1:7" s="7" customFormat="1" ht="12.75">
      <c r="A46" s="3"/>
      <c r="B46" s="3"/>
      <c r="C46" s="21" t="s">
        <v>266</v>
      </c>
      <c r="D46" s="8" t="s">
        <v>485</v>
      </c>
      <c r="E46" s="15">
        <v>715558</v>
      </c>
      <c r="F46" s="9"/>
      <c r="G46" s="20" t="e">
        <f>E46-#REF!</f>
        <v>#REF!</v>
      </c>
    </row>
    <row r="47" spans="1:7" s="7" customFormat="1" ht="20.25" customHeight="1">
      <c r="A47" s="3"/>
      <c r="B47" s="3"/>
      <c r="C47" s="21" t="s">
        <v>265</v>
      </c>
      <c r="D47" s="8" t="s">
        <v>483</v>
      </c>
      <c r="E47" s="15">
        <f>922947-66042-9492-401633</f>
        <v>445780</v>
      </c>
      <c r="F47" s="9"/>
      <c r="G47" s="20" t="e">
        <f>E47-#REF!</f>
        <v>#REF!</v>
      </c>
    </row>
    <row r="48" spans="1:6" s="7" customFormat="1" ht="19.5" customHeight="1">
      <c r="A48" s="3"/>
      <c r="B48" s="3"/>
      <c r="C48" s="21" t="s">
        <v>264</v>
      </c>
      <c r="D48" s="8" t="s">
        <v>484</v>
      </c>
      <c r="E48" s="15">
        <v>986</v>
      </c>
      <c r="F48" s="9"/>
    </row>
    <row r="49" spans="1:6" s="7" customFormat="1" ht="20.25" customHeight="1">
      <c r="A49" s="3"/>
      <c r="B49" s="3"/>
      <c r="C49" s="21" t="s">
        <v>262</v>
      </c>
      <c r="D49" s="8" t="s">
        <v>486</v>
      </c>
      <c r="E49" s="15">
        <v>80000</v>
      </c>
      <c r="F49" s="9"/>
    </row>
    <row r="50" spans="1:6" s="7" customFormat="1" ht="19.5" customHeight="1">
      <c r="A50" s="3"/>
      <c r="B50" s="4"/>
      <c r="C50" s="21" t="s">
        <v>261</v>
      </c>
      <c r="D50" s="8" t="s">
        <v>490</v>
      </c>
      <c r="E50" s="15">
        <v>500</v>
      </c>
      <c r="F50" s="9"/>
    </row>
    <row r="51" spans="1:6" s="7" customFormat="1" ht="17.25" customHeight="1">
      <c r="A51" s="3"/>
      <c r="B51" s="4"/>
      <c r="C51" s="21" t="s">
        <v>260</v>
      </c>
      <c r="D51" s="8" t="s">
        <v>288</v>
      </c>
      <c r="E51" s="15">
        <v>10000</v>
      </c>
      <c r="F51" s="9"/>
    </row>
    <row r="52" spans="1:6" s="7" customFormat="1" ht="18.75" customHeight="1">
      <c r="A52" s="3"/>
      <c r="B52" s="4"/>
      <c r="C52" s="21" t="s">
        <v>259</v>
      </c>
      <c r="D52" s="8" t="s">
        <v>491</v>
      </c>
      <c r="E52" s="15">
        <v>30000</v>
      </c>
      <c r="F52" s="9"/>
    </row>
    <row r="53" spans="1:6" s="7" customFormat="1" ht="25.5">
      <c r="A53" s="4"/>
      <c r="B53" s="4"/>
      <c r="C53" s="21" t="s">
        <v>258</v>
      </c>
      <c r="D53" s="8" t="s">
        <v>117</v>
      </c>
      <c r="E53" s="15">
        <v>6000</v>
      </c>
      <c r="F53" s="9" t="s">
        <v>338</v>
      </c>
    </row>
    <row r="54" spans="1:6" s="7" customFormat="1" ht="12.75">
      <c r="A54" s="3"/>
      <c r="B54" s="4"/>
      <c r="C54" s="21" t="s">
        <v>257</v>
      </c>
      <c r="D54" s="8" t="s">
        <v>14</v>
      </c>
      <c r="E54" s="15">
        <v>150000</v>
      </c>
      <c r="F54" s="9"/>
    </row>
    <row r="55" spans="1:6" s="7" customFormat="1" ht="25.5">
      <c r="A55" s="3"/>
      <c r="B55" s="4"/>
      <c r="C55" s="21" t="s">
        <v>249</v>
      </c>
      <c r="D55" s="8" t="s">
        <v>492</v>
      </c>
      <c r="E55" s="15">
        <v>20000</v>
      </c>
      <c r="F55" s="9" t="s">
        <v>382</v>
      </c>
    </row>
    <row r="56" spans="1:6" s="7" customFormat="1" ht="25.5">
      <c r="A56" s="3"/>
      <c r="B56" s="3">
        <v>75618</v>
      </c>
      <c r="C56" s="3"/>
      <c r="D56" s="29" t="s">
        <v>163</v>
      </c>
      <c r="E56" s="26">
        <f>SUM(E57:E61)</f>
        <v>275100</v>
      </c>
      <c r="F56" s="27"/>
    </row>
    <row r="57" spans="1:6" s="7" customFormat="1" ht="18.75" customHeight="1">
      <c r="A57" s="3"/>
      <c r="B57" s="3"/>
      <c r="C57" s="21" t="s">
        <v>256</v>
      </c>
      <c r="D57" s="8" t="s">
        <v>425</v>
      </c>
      <c r="E57" s="15">
        <v>40000</v>
      </c>
      <c r="F57" s="9"/>
    </row>
    <row r="58" spans="1:6" s="7" customFormat="1" ht="24.75" customHeight="1">
      <c r="A58" s="3"/>
      <c r="B58" s="3"/>
      <c r="C58" s="21" t="s">
        <v>255</v>
      </c>
      <c r="D58" s="8" t="s">
        <v>497</v>
      </c>
      <c r="E58" s="15">
        <f>10000+5000</f>
        <v>15000</v>
      </c>
      <c r="F58" s="9"/>
    </row>
    <row r="59" spans="1:6" s="7" customFormat="1" ht="26.25" customHeight="1">
      <c r="A59" s="3"/>
      <c r="B59" s="3"/>
      <c r="C59" s="21" t="s">
        <v>254</v>
      </c>
      <c r="D59" s="8" t="s">
        <v>496</v>
      </c>
      <c r="E59" s="15">
        <v>70000</v>
      </c>
      <c r="F59" s="9"/>
    </row>
    <row r="60" spans="1:6" s="7" customFormat="1" ht="26.25" customHeight="1">
      <c r="A60" s="3"/>
      <c r="B60" s="3"/>
      <c r="C60" s="21" t="s">
        <v>248</v>
      </c>
      <c r="D60" s="8" t="s">
        <v>13</v>
      </c>
      <c r="E60" s="15">
        <f>45000+105000</f>
        <v>150000</v>
      </c>
      <c r="F60" s="9" t="s">
        <v>342</v>
      </c>
    </row>
    <row r="61" spans="1:6" s="7" customFormat="1" ht="12.75">
      <c r="A61" s="3"/>
      <c r="B61" s="4"/>
      <c r="C61" s="21" t="s">
        <v>249</v>
      </c>
      <c r="D61" s="8" t="s">
        <v>492</v>
      </c>
      <c r="E61" s="15">
        <v>100</v>
      </c>
      <c r="F61" s="9"/>
    </row>
    <row r="62" spans="1:6" s="7" customFormat="1" ht="25.5">
      <c r="A62" s="3"/>
      <c r="B62" s="3">
        <v>75621</v>
      </c>
      <c r="C62" s="3"/>
      <c r="D62" s="29" t="s">
        <v>424</v>
      </c>
      <c r="E62" s="26">
        <f>SUM(E63:E64)</f>
        <v>2086055</v>
      </c>
      <c r="F62" s="27"/>
    </row>
    <row r="63" spans="1:6" s="7" customFormat="1" ht="27.75" customHeight="1">
      <c r="A63" s="3"/>
      <c r="B63" s="4"/>
      <c r="C63" s="21" t="s">
        <v>253</v>
      </c>
      <c r="D63" s="8" t="s">
        <v>493</v>
      </c>
      <c r="E63" s="15">
        <v>1586055</v>
      </c>
      <c r="F63" s="9" t="s">
        <v>375</v>
      </c>
    </row>
    <row r="64" spans="1:6" s="7" customFormat="1" ht="12.75">
      <c r="A64" s="3"/>
      <c r="B64" s="4"/>
      <c r="C64" s="21" t="s">
        <v>252</v>
      </c>
      <c r="D64" s="8" t="s">
        <v>494</v>
      </c>
      <c r="E64" s="15">
        <v>500000</v>
      </c>
      <c r="F64" s="9"/>
    </row>
    <row r="65" spans="1:6" s="7" customFormat="1" ht="12.75">
      <c r="A65" s="10">
        <v>758</v>
      </c>
      <c r="B65" s="10"/>
      <c r="C65" s="10"/>
      <c r="D65" s="12" t="s">
        <v>429</v>
      </c>
      <c r="E65" s="13">
        <f>E66+E68+E70</f>
        <v>4383001</v>
      </c>
      <c r="F65" s="14"/>
    </row>
    <row r="66" spans="1:6" s="7" customFormat="1" ht="25.5">
      <c r="A66" s="3"/>
      <c r="B66" s="3">
        <v>75801</v>
      </c>
      <c r="C66" s="3"/>
      <c r="D66" s="29" t="s">
        <v>467</v>
      </c>
      <c r="E66" s="26">
        <f>E67</f>
        <v>3884254</v>
      </c>
      <c r="F66" s="27"/>
    </row>
    <row r="67" spans="1:6" s="7" customFormat="1" ht="25.5">
      <c r="A67" s="3"/>
      <c r="B67" s="4"/>
      <c r="C67" s="4">
        <v>2920</v>
      </c>
      <c r="D67" s="8" t="s">
        <v>495</v>
      </c>
      <c r="E67" s="15">
        <v>3884254</v>
      </c>
      <c r="F67" s="9" t="s">
        <v>375</v>
      </c>
    </row>
    <row r="68" spans="1:6" s="7" customFormat="1" ht="12.75">
      <c r="A68" s="3"/>
      <c r="B68" s="3">
        <v>75807</v>
      </c>
      <c r="C68" s="3"/>
      <c r="D68" s="29" t="s">
        <v>119</v>
      </c>
      <c r="E68" s="26">
        <f>E69</f>
        <v>494747</v>
      </c>
      <c r="F68" s="27"/>
    </row>
    <row r="69" spans="1:6" s="7" customFormat="1" ht="25.5">
      <c r="A69" s="3"/>
      <c r="B69" s="4"/>
      <c r="C69" s="4">
        <v>2920</v>
      </c>
      <c r="D69" s="8" t="s">
        <v>495</v>
      </c>
      <c r="E69" s="15">
        <v>494747</v>
      </c>
      <c r="F69" s="9" t="s">
        <v>375</v>
      </c>
    </row>
    <row r="70" spans="1:6" s="91" customFormat="1" ht="12.75">
      <c r="A70" s="3"/>
      <c r="B70" s="3">
        <v>75814</v>
      </c>
      <c r="C70" s="3"/>
      <c r="D70" s="29" t="s">
        <v>183</v>
      </c>
      <c r="E70" s="26">
        <f>E71</f>
        <v>4000</v>
      </c>
      <c r="F70" s="27"/>
    </row>
    <row r="71" spans="1:6" s="7" customFormat="1" ht="12.75">
      <c r="A71" s="3"/>
      <c r="B71" s="4"/>
      <c r="C71" s="21" t="s">
        <v>251</v>
      </c>
      <c r="D71" s="8" t="s">
        <v>481</v>
      </c>
      <c r="E71" s="15">
        <v>4000</v>
      </c>
      <c r="F71" s="9" t="s">
        <v>376</v>
      </c>
    </row>
    <row r="72" spans="1:6" s="7" customFormat="1" ht="12.75">
      <c r="A72" s="10">
        <v>801</v>
      </c>
      <c r="B72" s="10"/>
      <c r="C72" s="10"/>
      <c r="D72" s="12" t="s">
        <v>420</v>
      </c>
      <c r="E72" s="13">
        <f>E73+E75+E79+E82</f>
        <v>6056768</v>
      </c>
      <c r="F72" s="14"/>
    </row>
    <row r="73" spans="1:6" s="7" customFormat="1" ht="12.75">
      <c r="A73" s="58"/>
      <c r="B73" s="58">
        <v>80101</v>
      </c>
      <c r="C73" s="58"/>
      <c r="D73" s="29" t="s">
        <v>440</v>
      </c>
      <c r="E73" s="26">
        <f>E74</f>
        <v>750</v>
      </c>
      <c r="F73" s="27"/>
    </row>
    <row r="74" spans="1:6" s="18" customFormat="1" ht="51">
      <c r="A74" s="16"/>
      <c r="B74" s="16"/>
      <c r="C74" s="21" t="s">
        <v>270</v>
      </c>
      <c r="D74" s="8" t="s">
        <v>173</v>
      </c>
      <c r="E74" s="236">
        <v>750</v>
      </c>
      <c r="F74" s="6"/>
    </row>
    <row r="75" spans="1:6" s="7" customFormat="1" ht="12.75">
      <c r="A75" s="58"/>
      <c r="B75" s="58">
        <v>80104</v>
      </c>
      <c r="C75" s="58"/>
      <c r="D75" s="63" t="s">
        <v>174</v>
      </c>
      <c r="E75" s="26">
        <f>E76+E77</f>
        <v>45100</v>
      </c>
      <c r="F75" s="27"/>
    </row>
    <row r="76" spans="1:6" s="7" customFormat="1" ht="20.25" customHeight="1">
      <c r="A76" s="58"/>
      <c r="B76" s="58"/>
      <c r="C76" s="21" t="s">
        <v>250</v>
      </c>
      <c r="D76" s="8" t="s">
        <v>479</v>
      </c>
      <c r="E76" s="15">
        <v>45000</v>
      </c>
      <c r="F76" s="9"/>
    </row>
    <row r="77" spans="1:6" s="7" customFormat="1" ht="12.75">
      <c r="A77" s="58"/>
      <c r="B77" s="58"/>
      <c r="C77" s="21" t="s">
        <v>249</v>
      </c>
      <c r="D77" s="8" t="s">
        <v>492</v>
      </c>
      <c r="E77" s="15">
        <v>100</v>
      </c>
      <c r="F77" s="9"/>
    </row>
    <row r="78" spans="1:6" s="7" customFormat="1" ht="12.75">
      <c r="A78" s="58"/>
      <c r="B78" s="58"/>
      <c r="C78" s="182" t="s">
        <v>263</v>
      </c>
      <c r="D78" s="222" t="s">
        <v>194</v>
      </c>
      <c r="E78" s="15"/>
      <c r="F78" s="9"/>
    </row>
    <row r="79" spans="1:6" s="7" customFormat="1" ht="12.75">
      <c r="A79" s="58"/>
      <c r="B79" s="3">
        <v>80110</v>
      </c>
      <c r="C79" s="3"/>
      <c r="D79" s="29" t="s">
        <v>441</v>
      </c>
      <c r="E79" s="26">
        <f>E80+E81</f>
        <v>6009818</v>
      </c>
      <c r="F79" s="27"/>
    </row>
    <row r="80" spans="1:6" s="7" customFormat="1" ht="25.5">
      <c r="A80" s="58"/>
      <c r="B80" s="58"/>
      <c r="C80" s="21">
        <v>6299</v>
      </c>
      <c r="D80" s="8" t="s">
        <v>498</v>
      </c>
      <c r="E80" s="15">
        <v>5302781</v>
      </c>
      <c r="F80" s="8" t="s">
        <v>74</v>
      </c>
    </row>
    <row r="81" spans="1:6" s="7" customFormat="1" ht="25.5">
      <c r="A81" s="58"/>
      <c r="B81" s="58"/>
      <c r="C81" s="21">
        <v>6339</v>
      </c>
      <c r="D81" s="8" t="s">
        <v>51</v>
      </c>
      <c r="E81" s="15">
        <v>707037</v>
      </c>
      <c r="F81" s="8" t="s">
        <v>75</v>
      </c>
    </row>
    <row r="82" spans="1:6" s="7" customFormat="1" ht="12.75">
      <c r="A82" s="58"/>
      <c r="B82" s="3">
        <v>80114</v>
      </c>
      <c r="C82" s="3"/>
      <c r="D82" s="29" t="s">
        <v>50</v>
      </c>
      <c r="E82" s="26">
        <f>E83+E84</f>
        <v>1100</v>
      </c>
      <c r="F82" s="27"/>
    </row>
    <row r="83" spans="1:6" s="7" customFormat="1" ht="18" customHeight="1">
      <c r="A83" s="58"/>
      <c r="B83" s="58"/>
      <c r="C83" s="21" t="s">
        <v>268</v>
      </c>
      <c r="D83" s="8" t="s">
        <v>118</v>
      </c>
      <c r="E83" s="15">
        <v>1000</v>
      </c>
      <c r="F83" s="9"/>
    </row>
    <row r="84" spans="1:6" s="7" customFormat="1" ht="18" customHeight="1">
      <c r="A84" s="58"/>
      <c r="B84" s="58"/>
      <c r="C84" s="21" t="s">
        <v>251</v>
      </c>
      <c r="D84" s="8" t="s">
        <v>481</v>
      </c>
      <c r="E84" s="15">
        <v>100</v>
      </c>
      <c r="F84" s="9"/>
    </row>
    <row r="85" spans="1:6" s="7" customFormat="1" ht="12.75">
      <c r="A85" s="10">
        <v>852</v>
      </c>
      <c r="B85" s="10"/>
      <c r="C85" s="10"/>
      <c r="D85" s="12" t="s">
        <v>423</v>
      </c>
      <c r="E85" s="13">
        <f>E88+E90+E93+E86</f>
        <v>1197750</v>
      </c>
      <c r="F85" s="14"/>
    </row>
    <row r="86" spans="1:6" s="18" customFormat="1" ht="25.5">
      <c r="A86" s="16"/>
      <c r="B86" s="3">
        <v>85212</v>
      </c>
      <c r="C86" s="3"/>
      <c r="D86" s="29" t="s">
        <v>153</v>
      </c>
      <c r="E86" s="24">
        <f>E87</f>
        <v>1057000</v>
      </c>
      <c r="F86" s="6"/>
    </row>
    <row r="87" spans="1:6" s="18" customFormat="1" ht="38.25">
      <c r="A87" s="16"/>
      <c r="B87" s="3"/>
      <c r="C87" s="4">
        <v>2010</v>
      </c>
      <c r="D87" s="8" t="s">
        <v>482</v>
      </c>
      <c r="E87" s="236">
        <v>1057000</v>
      </c>
      <c r="F87" s="9" t="s">
        <v>128</v>
      </c>
    </row>
    <row r="88" spans="1:6" s="18" customFormat="1" ht="38.25">
      <c r="A88" s="16"/>
      <c r="B88" s="3">
        <v>85213</v>
      </c>
      <c r="C88" s="3"/>
      <c r="D88" s="29" t="s">
        <v>328</v>
      </c>
      <c r="E88" s="24">
        <f>E89</f>
        <v>12900</v>
      </c>
      <c r="F88" s="6"/>
    </row>
    <row r="89" spans="1:6" s="18" customFormat="1" ht="38.25">
      <c r="A89" s="16"/>
      <c r="B89" s="16"/>
      <c r="C89" s="4">
        <v>2010</v>
      </c>
      <c r="D89" s="8" t="s">
        <v>482</v>
      </c>
      <c r="E89" s="31">
        <v>12900</v>
      </c>
      <c r="F89" s="9" t="s">
        <v>128</v>
      </c>
    </row>
    <row r="90" spans="1:6" s="7" customFormat="1" ht="25.5">
      <c r="A90" s="3"/>
      <c r="B90" s="3">
        <v>85214</v>
      </c>
      <c r="C90" s="3"/>
      <c r="D90" s="29" t="s">
        <v>470</v>
      </c>
      <c r="E90" s="26">
        <f>E91+E92</f>
        <v>63400</v>
      </c>
      <c r="F90" s="27"/>
    </row>
    <row r="91" spans="1:6" s="7" customFormat="1" ht="38.25">
      <c r="A91" s="3"/>
      <c r="B91" s="4"/>
      <c r="C91" s="4">
        <v>2010</v>
      </c>
      <c r="D91" s="8" t="s">
        <v>482</v>
      </c>
      <c r="E91" s="15">
        <v>13700</v>
      </c>
      <c r="F91" s="302" t="s">
        <v>128</v>
      </c>
    </row>
    <row r="92" spans="1:6" s="7" customFormat="1" ht="25.5">
      <c r="A92" s="3"/>
      <c r="B92" s="4"/>
      <c r="C92" s="182">
        <v>2030</v>
      </c>
      <c r="D92" s="222" t="s">
        <v>208</v>
      </c>
      <c r="E92" s="15">
        <v>49700</v>
      </c>
      <c r="F92" s="303"/>
    </row>
    <row r="93" spans="1:6" s="7" customFormat="1" ht="12.75">
      <c r="A93" s="3"/>
      <c r="B93" s="3">
        <v>85219</v>
      </c>
      <c r="C93" s="3"/>
      <c r="D93" s="29" t="s">
        <v>472</v>
      </c>
      <c r="E93" s="26">
        <f>E94+E95</f>
        <v>64450</v>
      </c>
      <c r="F93" s="27"/>
    </row>
    <row r="94" spans="1:6" s="7" customFormat="1" ht="25.5">
      <c r="A94" s="3"/>
      <c r="B94" s="4"/>
      <c r="C94" s="182">
        <v>2030</v>
      </c>
      <c r="D94" s="222" t="s">
        <v>208</v>
      </c>
      <c r="E94" s="15">
        <v>64300</v>
      </c>
      <c r="F94" s="9" t="s">
        <v>128</v>
      </c>
    </row>
    <row r="95" spans="1:6" s="91" customFormat="1" ht="12.75">
      <c r="A95" s="3"/>
      <c r="B95" s="3"/>
      <c r="C95" s="21" t="s">
        <v>251</v>
      </c>
      <c r="D95" s="8" t="s">
        <v>481</v>
      </c>
      <c r="E95" s="240">
        <v>150</v>
      </c>
      <c r="F95" s="248" t="s">
        <v>381</v>
      </c>
    </row>
    <row r="96" spans="1:6" s="7" customFormat="1" ht="12.75">
      <c r="A96" s="10">
        <v>900</v>
      </c>
      <c r="B96" s="10"/>
      <c r="C96" s="10"/>
      <c r="D96" s="12" t="s">
        <v>473</v>
      </c>
      <c r="E96" s="13">
        <f>E97+E99</f>
        <v>34900</v>
      </c>
      <c r="F96" s="14"/>
    </row>
    <row r="97" spans="1:6" s="7" customFormat="1" ht="27" customHeight="1">
      <c r="A97" s="3"/>
      <c r="B97" s="3">
        <v>90001</v>
      </c>
      <c r="C97" s="3"/>
      <c r="D97" s="29" t="s">
        <v>181</v>
      </c>
      <c r="E97" s="26">
        <f>SUM(E98:E98)</f>
        <v>14900</v>
      </c>
      <c r="F97" s="27"/>
    </row>
    <row r="98" spans="1:6" s="7" customFormat="1" ht="38.25">
      <c r="A98" s="3"/>
      <c r="B98" s="4"/>
      <c r="C98" s="21" t="s">
        <v>248</v>
      </c>
      <c r="D98" s="8" t="s">
        <v>13</v>
      </c>
      <c r="E98" s="15">
        <f>9900+5000</f>
        <v>14900</v>
      </c>
      <c r="F98" s="9" t="s">
        <v>337</v>
      </c>
    </row>
    <row r="99" spans="1:6" s="7" customFormat="1" ht="12.75">
      <c r="A99" s="3"/>
      <c r="B99" s="3">
        <v>90011</v>
      </c>
      <c r="C99" s="3"/>
      <c r="D99" s="29" t="s">
        <v>205</v>
      </c>
      <c r="E99" s="26">
        <f>SUM(E100:E100)</f>
        <v>20000</v>
      </c>
      <c r="F99" s="27"/>
    </row>
    <row r="100" spans="1:6" s="7" customFormat="1" ht="12.75">
      <c r="A100" s="4"/>
      <c r="B100" s="4"/>
      <c r="C100" s="21" t="s">
        <v>96</v>
      </c>
      <c r="D100" s="8" t="s">
        <v>97</v>
      </c>
      <c r="E100" s="15">
        <f>15000+5000</f>
        <v>20000</v>
      </c>
      <c r="F100" s="9"/>
    </row>
    <row r="101" spans="1:7" s="73" customFormat="1" ht="15.75">
      <c r="A101" s="108"/>
      <c r="B101" s="109"/>
      <c r="C101" s="109"/>
      <c r="D101" s="108" t="s">
        <v>431</v>
      </c>
      <c r="E101" s="110">
        <f>E9+E12+E15+E22+E28+E31+E34+E65+E72+E85+E96+E6</f>
        <v>18016490</v>
      </c>
      <c r="F101" s="243"/>
      <c r="G101" s="72"/>
    </row>
    <row r="102" s="7" customFormat="1" ht="12.75">
      <c r="E102" s="95"/>
    </row>
    <row r="103" spans="5:6" s="7" customFormat="1" ht="12.75">
      <c r="E103" s="98"/>
      <c r="F103" s="20"/>
    </row>
    <row r="104" spans="5:6" s="7" customFormat="1" ht="12.75">
      <c r="E104" s="98"/>
      <c r="F104" s="20"/>
    </row>
    <row r="105" spans="4:6" s="7" customFormat="1" ht="12.75">
      <c r="D105" s="146"/>
      <c r="E105" s="98"/>
      <c r="F105" s="20"/>
    </row>
    <row r="106" spans="4:6" s="7" customFormat="1" ht="12.75">
      <c r="D106" s="146"/>
      <c r="E106" s="98"/>
      <c r="F106" s="20"/>
    </row>
  </sheetData>
  <mergeCells count="7">
    <mergeCell ref="F91:F92"/>
    <mergeCell ref="E3:E4"/>
    <mergeCell ref="F3:F4"/>
    <mergeCell ref="A3:A4"/>
    <mergeCell ref="B3:B4"/>
    <mergeCell ref="C3:C4"/>
    <mergeCell ref="D3:D4"/>
  </mergeCells>
  <printOptions horizontalCentered="1"/>
  <pageMargins left="0.11811023622047245" right="0.15748031496062992" top="0.11811023622047245" bottom="0.1968503937007874" header="0.11811023622047245" footer="0.1181102362204724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V22"/>
  <sheetViews>
    <sheetView tabSelected="1" workbookViewId="0" topLeftCell="A7">
      <selection activeCell="F24" sqref="F24"/>
    </sheetView>
  </sheetViews>
  <sheetFormatPr defaultColWidth="9.00390625" defaultRowHeight="12.75"/>
  <cols>
    <col min="2" max="2" width="4.875" style="0" customWidth="1"/>
    <col min="3" max="3" width="24.375" style="0" customWidth="1"/>
    <col min="6" max="6" width="15.125" style="0" customWidth="1"/>
    <col min="7" max="7" width="12.00390625" style="0" hidden="1" customWidth="1"/>
    <col min="8" max="8" width="14.125" style="0" customWidth="1"/>
    <col min="9" max="9" width="12.875" style="0" customWidth="1"/>
    <col min="10" max="11" width="13.25390625" style="0" customWidth="1"/>
    <col min="12" max="12" width="12.875" style="0" customWidth="1"/>
    <col min="13" max="13" width="7.75390625" style="0" customWidth="1"/>
    <col min="14" max="14" width="13.75390625" style="0" customWidth="1"/>
    <col min="15" max="15" width="13.375" style="0" customWidth="1"/>
    <col min="16" max="16" width="13.125" style="0" customWidth="1"/>
    <col min="17" max="17" width="8.25390625" style="0" customWidth="1"/>
    <col min="18" max="18" width="13.625" style="0" customWidth="1"/>
    <col min="19" max="19" width="12.875" style="0" customWidth="1"/>
    <col min="20" max="20" width="7.625" style="0" customWidth="1"/>
    <col min="21" max="21" width="7.00390625" style="0" customWidth="1"/>
    <col min="22" max="22" width="13.25390625" style="0" customWidth="1"/>
  </cols>
  <sheetData>
    <row r="1" spans="2:22" ht="12.75" customHeight="1">
      <c r="B1" s="7"/>
      <c r="C1" s="7"/>
      <c r="D1" s="128"/>
      <c r="E1" s="7"/>
      <c r="F1" s="7"/>
      <c r="G1" s="7"/>
      <c r="H1" s="7"/>
      <c r="I1" s="7"/>
      <c r="J1" s="91"/>
      <c r="K1" s="91"/>
      <c r="L1" s="91"/>
      <c r="M1" s="91"/>
      <c r="N1" s="91"/>
      <c r="O1" s="91"/>
      <c r="P1" s="91"/>
      <c r="Q1" s="91"/>
      <c r="R1" s="316" t="s">
        <v>223</v>
      </c>
      <c r="S1" s="316"/>
      <c r="T1" s="316"/>
      <c r="U1" s="316"/>
      <c r="V1" s="316"/>
    </row>
    <row r="2" spans="2:21" ht="18.75">
      <c r="B2" s="2"/>
      <c r="C2" s="198" t="s">
        <v>38</v>
      </c>
      <c r="D2" s="199"/>
      <c r="E2" s="2"/>
      <c r="F2" s="2"/>
      <c r="G2" s="7"/>
      <c r="H2" s="7"/>
      <c r="I2" s="7"/>
      <c r="J2" s="47"/>
      <c r="K2" s="47"/>
      <c r="L2" s="47"/>
      <c r="M2" s="47"/>
      <c r="N2" s="47"/>
      <c r="O2" s="47"/>
      <c r="P2" s="47"/>
      <c r="Q2" s="47"/>
      <c r="R2" s="47"/>
      <c r="S2" s="47"/>
      <c r="T2" s="47"/>
      <c r="U2" s="47"/>
    </row>
    <row r="3" spans="2:21" ht="12.75">
      <c r="B3" s="2"/>
      <c r="C3" s="2"/>
      <c r="D3" s="199"/>
      <c r="E3" s="2"/>
      <c r="F3" s="2"/>
      <c r="G3" s="7"/>
      <c r="H3" s="7"/>
      <c r="I3" s="7"/>
      <c r="J3" s="47"/>
      <c r="K3" s="47"/>
      <c r="L3" s="47"/>
      <c r="M3" s="47"/>
      <c r="N3" s="47"/>
      <c r="O3" s="47"/>
      <c r="P3" s="47"/>
      <c r="Q3" s="47"/>
      <c r="R3" s="47"/>
      <c r="S3" s="47"/>
      <c r="T3" s="47"/>
      <c r="U3" s="47"/>
    </row>
    <row r="4" spans="2:22" ht="12.75">
      <c r="B4" s="281" t="s">
        <v>227</v>
      </c>
      <c r="C4" s="281" t="s">
        <v>411</v>
      </c>
      <c r="D4" s="284" t="s">
        <v>412</v>
      </c>
      <c r="E4" s="281" t="s">
        <v>413</v>
      </c>
      <c r="F4" s="287" t="s">
        <v>414</v>
      </c>
      <c r="G4" s="288"/>
      <c r="H4" s="288"/>
      <c r="I4" s="289"/>
      <c r="J4" s="241"/>
      <c r="K4" s="290" t="s">
        <v>226</v>
      </c>
      <c r="L4" s="291"/>
      <c r="M4" s="291"/>
      <c r="N4" s="291"/>
      <c r="O4" s="291"/>
      <c r="P4" s="291"/>
      <c r="Q4" s="291"/>
      <c r="R4" s="291"/>
      <c r="S4" s="291"/>
      <c r="T4" s="291"/>
      <c r="U4" s="291"/>
      <c r="V4" s="292"/>
    </row>
    <row r="5" spans="2:22" ht="12.75">
      <c r="B5" s="282"/>
      <c r="C5" s="282"/>
      <c r="D5" s="285"/>
      <c r="E5" s="282"/>
      <c r="F5" s="293" t="s">
        <v>415</v>
      </c>
      <c r="G5" s="200"/>
      <c r="H5" s="197"/>
      <c r="I5" s="226"/>
      <c r="J5" s="226"/>
      <c r="K5" s="296">
        <v>2005</v>
      </c>
      <c r="L5" s="296"/>
      <c r="M5" s="296"/>
      <c r="N5" s="297"/>
      <c r="O5" s="259"/>
      <c r="P5" s="260">
        <v>2006</v>
      </c>
      <c r="Q5" s="260"/>
      <c r="R5" s="261"/>
      <c r="S5" s="298">
        <v>2007</v>
      </c>
      <c r="T5" s="298"/>
      <c r="U5" s="298"/>
      <c r="V5" s="299"/>
    </row>
    <row r="6" spans="2:22" ht="12.75" customHeight="1">
      <c r="B6" s="282"/>
      <c r="C6" s="282"/>
      <c r="D6" s="285"/>
      <c r="E6" s="282"/>
      <c r="F6" s="294"/>
      <c r="G6" s="201" t="s">
        <v>416</v>
      </c>
      <c r="H6" s="201" t="s">
        <v>416</v>
      </c>
      <c r="I6" s="227"/>
      <c r="J6" s="227"/>
      <c r="K6" s="249"/>
      <c r="L6" s="250"/>
      <c r="M6" s="251"/>
      <c r="N6" s="252"/>
      <c r="O6" s="262"/>
      <c r="P6" s="10"/>
      <c r="Q6" s="263"/>
      <c r="R6" s="264"/>
      <c r="S6" s="267"/>
      <c r="T6" s="119"/>
      <c r="U6" s="112"/>
      <c r="V6" s="112"/>
    </row>
    <row r="7" spans="2:22" ht="126.75" customHeight="1">
      <c r="B7" s="283"/>
      <c r="C7" s="283"/>
      <c r="D7" s="286"/>
      <c r="E7" s="283"/>
      <c r="F7" s="295"/>
      <c r="G7" s="3">
        <v>2004</v>
      </c>
      <c r="H7" s="3">
        <v>2005</v>
      </c>
      <c r="I7" s="225">
        <v>2006</v>
      </c>
      <c r="J7" s="225">
        <v>2007</v>
      </c>
      <c r="K7" s="250" t="s">
        <v>299</v>
      </c>
      <c r="L7" s="253" t="s">
        <v>302</v>
      </c>
      <c r="M7" s="254" t="s">
        <v>465</v>
      </c>
      <c r="N7" s="255" t="s">
        <v>303</v>
      </c>
      <c r="O7" s="262" t="s">
        <v>299</v>
      </c>
      <c r="P7" s="10" t="s">
        <v>302</v>
      </c>
      <c r="Q7" s="263" t="s">
        <v>465</v>
      </c>
      <c r="R7" s="264" t="s">
        <v>303</v>
      </c>
      <c r="S7" s="267" t="s">
        <v>299</v>
      </c>
      <c r="T7" s="119" t="s">
        <v>302</v>
      </c>
      <c r="U7" s="112" t="s">
        <v>465</v>
      </c>
      <c r="V7" s="112" t="s">
        <v>303</v>
      </c>
    </row>
    <row r="8" spans="2:22" ht="38.25">
      <c r="B8" s="3">
        <v>1</v>
      </c>
      <c r="C8" s="30" t="s">
        <v>278</v>
      </c>
      <c r="D8" s="118" t="s">
        <v>417</v>
      </c>
      <c r="E8" s="4" t="s">
        <v>39</v>
      </c>
      <c r="F8" s="9">
        <f>G8+H8+I8</f>
        <v>10196779.93</v>
      </c>
      <c r="G8" s="9">
        <v>191941.1</v>
      </c>
      <c r="H8" s="9">
        <v>7480156.04</v>
      </c>
      <c r="I8" s="206">
        <v>2524682.79</v>
      </c>
      <c r="J8" s="206">
        <v>0</v>
      </c>
      <c r="K8" s="256">
        <v>1470337.32</v>
      </c>
      <c r="L8" s="78">
        <v>5302781.22</v>
      </c>
      <c r="M8" s="78"/>
      <c r="N8" s="257">
        <v>707037.5</v>
      </c>
      <c r="O8" s="265">
        <v>573658.42</v>
      </c>
      <c r="P8" s="107">
        <v>1721492.09</v>
      </c>
      <c r="Q8" s="107"/>
      <c r="R8" s="107">
        <v>229532.28</v>
      </c>
      <c r="S8" s="268"/>
      <c r="T8" s="153"/>
      <c r="U8" s="153"/>
      <c r="V8" s="153"/>
    </row>
    <row r="9" spans="2:22" ht="25.5">
      <c r="B9" s="3">
        <v>2</v>
      </c>
      <c r="C9" s="30" t="s">
        <v>360</v>
      </c>
      <c r="D9" s="118" t="s">
        <v>417</v>
      </c>
      <c r="E9" s="4" t="s">
        <v>368</v>
      </c>
      <c r="F9" s="9">
        <f>H9+I9+J9</f>
        <v>3055000</v>
      </c>
      <c r="G9" s="9"/>
      <c r="H9" s="9">
        <v>80000</v>
      </c>
      <c r="I9" s="206">
        <v>1000000</v>
      </c>
      <c r="J9" s="206">
        <v>1975000</v>
      </c>
      <c r="K9" s="256">
        <v>80000</v>
      </c>
      <c r="L9" s="78"/>
      <c r="M9" s="78"/>
      <c r="N9" s="257"/>
      <c r="O9" s="265">
        <v>300000</v>
      </c>
      <c r="P9" s="107"/>
      <c r="Q9" s="107"/>
      <c r="R9" s="266">
        <v>700000</v>
      </c>
      <c r="S9" s="268">
        <v>592500</v>
      </c>
      <c r="T9" s="153"/>
      <c r="U9" s="153"/>
      <c r="V9" s="153">
        <v>1382500</v>
      </c>
    </row>
    <row r="10" spans="2:22" ht="25.5">
      <c r="B10" s="3">
        <v>3</v>
      </c>
      <c r="C10" s="30" t="s">
        <v>362</v>
      </c>
      <c r="D10" s="118" t="s">
        <v>417</v>
      </c>
      <c r="E10" s="4" t="s">
        <v>361</v>
      </c>
      <c r="F10" s="9">
        <f>H10+I10+J10</f>
        <v>4033000</v>
      </c>
      <c r="G10" s="9"/>
      <c r="H10" s="9">
        <v>1000000</v>
      </c>
      <c r="I10" s="206">
        <v>1000000</v>
      </c>
      <c r="J10" s="62">
        <v>2033000</v>
      </c>
      <c r="K10" s="256">
        <v>100000</v>
      </c>
      <c r="L10" s="78"/>
      <c r="M10" s="78"/>
      <c r="N10" s="257"/>
      <c r="O10" s="265">
        <v>900000</v>
      </c>
      <c r="P10" s="107"/>
      <c r="Q10" s="107"/>
      <c r="R10" s="266">
        <v>1000000</v>
      </c>
      <c r="S10" s="268"/>
      <c r="T10" s="153"/>
      <c r="U10" s="153"/>
      <c r="V10" s="153">
        <v>2033000</v>
      </c>
    </row>
    <row r="11" spans="2:22" ht="25.5">
      <c r="B11" s="3">
        <v>4</v>
      </c>
      <c r="C11" s="30" t="s">
        <v>366</v>
      </c>
      <c r="D11" s="118" t="s">
        <v>417</v>
      </c>
      <c r="E11" s="4" t="s">
        <v>365</v>
      </c>
      <c r="F11" s="9">
        <f>G11+H11+I11+J11</f>
        <v>13490</v>
      </c>
      <c r="G11" s="9">
        <v>5490</v>
      </c>
      <c r="H11" s="9">
        <v>8000</v>
      </c>
      <c r="I11" s="206">
        <v>0</v>
      </c>
      <c r="J11" s="62">
        <v>0</v>
      </c>
      <c r="K11" s="256">
        <v>8000</v>
      </c>
      <c r="L11" s="78"/>
      <c r="M11" s="78"/>
      <c r="N11" s="257"/>
      <c r="O11" s="265"/>
      <c r="P11" s="107"/>
      <c r="Q11" s="107"/>
      <c r="R11" s="266"/>
      <c r="S11" s="268"/>
      <c r="T11" s="153"/>
      <c r="U11" s="153"/>
      <c r="V11" s="153"/>
    </row>
    <row r="12" spans="2:22" ht="25.5">
      <c r="B12" s="3">
        <v>5</v>
      </c>
      <c r="C12" s="30" t="s">
        <v>444</v>
      </c>
      <c r="D12" s="118" t="s">
        <v>417</v>
      </c>
      <c r="E12" s="4" t="s">
        <v>363</v>
      </c>
      <c r="F12" s="9">
        <f>G12+H12+I12+J12</f>
        <v>446540</v>
      </c>
      <c r="G12" s="9">
        <v>10000</v>
      </c>
      <c r="H12" s="9">
        <v>101000</v>
      </c>
      <c r="I12" s="206">
        <v>135540</v>
      </c>
      <c r="J12" s="206">
        <v>200000</v>
      </c>
      <c r="K12" s="256">
        <v>101000</v>
      </c>
      <c r="L12" s="78"/>
      <c r="M12" s="78"/>
      <c r="N12" s="258"/>
      <c r="O12" s="265">
        <v>135540</v>
      </c>
      <c r="P12" s="107"/>
      <c r="Q12" s="107"/>
      <c r="R12" s="266"/>
      <c r="S12" s="268">
        <v>200000</v>
      </c>
      <c r="T12" s="153"/>
      <c r="U12" s="153"/>
      <c r="V12" s="153"/>
    </row>
    <row r="13" spans="1:22" ht="25.5">
      <c r="A13" s="273"/>
      <c r="B13" s="3">
        <f>B12+1</f>
        <v>6</v>
      </c>
      <c r="C13" s="30" t="s">
        <v>445</v>
      </c>
      <c r="D13" s="118" t="s">
        <v>417</v>
      </c>
      <c r="E13" s="4" t="s">
        <v>363</v>
      </c>
      <c r="F13" s="9">
        <f>G13+H13+I13+J13</f>
        <v>497771</v>
      </c>
      <c r="G13" s="9">
        <v>18251</v>
      </c>
      <c r="H13" s="9">
        <v>121000</v>
      </c>
      <c r="I13" s="206">
        <v>100000</v>
      </c>
      <c r="J13" s="206">
        <v>258520</v>
      </c>
      <c r="K13" s="256">
        <v>121000</v>
      </c>
      <c r="L13" s="78"/>
      <c r="M13" s="78"/>
      <c r="N13" s="257"/>
      <c r="O13" s="265">
        <v>100000</v>
      </c>
      <c r="P13" s="107"/>
      <c r="Q13" s="107"/>
      <c r="R13" s="266"/>
      <c r="S13" s="268">
        <v>258520</v>
      </c>
      <c r="T13" s="153"/>
      <c r="U13" s="153"/>
      <c r="V13" s="153"/>
    </row>
    <row r="14" spans="2:22" ht="25.5">
      <c r="B14" s="3">
        <f>B13+1</f>
        <v>7</v>
      </c>
      <c r="C14" s="30" t="s">
        <v>364</v>
      </c>
      <c r="D14" s="118" t="s">
        <v>417</v>
      </c>
      <c r="E14" s="4" t="s">
        <v>365</v>
      </c>
      <c r="F14" s="9">
        <f>G14+H14+I14+J14</f>
        <v>86490</v>
      </c>
      <c r="G14" s="9">
        <v>3050</v>
      </c>
      <c r="H14" s="9">
        <v>83440</v>
      </c>
      <c r="I14" s="206">
        <v>0</v>
      </c>
      <c r="J14" s="206">
        <v>0</v>
      </c>
      <c r="K14" s="256">
        <v>83440</v>
      </c>
      <c r="L14" s="78"/>
      <c r="M14" s="78"/>
      <c r="N14" s="257"/>
      <c r="O14" s="265"/>
      <c r="P14" s="107"/>
      <c r="Q14" s="107"/>
      <c r="R14" s="266"/>
      <c r="S14" s="268"/>
      <c r="T14" s="153"/>
      <c r="U14" s="153"/>
      <c r="V14" s="153"/>
    </row>
    <row r="15" spans="1:22" ht="25.5">
      <c r="A15" s="273"/>
      <c r="B15" s="3">
        <v>8</v>
      </c>
      <c r="C15" s="30" t="s">
        <v>164</v>
      </c>
      <c r="D15" s="118" t="s">
        <v>417</v>
      </c>
      <c r="E15" s="4" t="s">
        <v>365</v>
      </c>
      <c r="F15" s="9">
        <f>G15+H15+I15+J15</f>
        <v>18500</v>
      </c>
      <c r="G15" s="9">
        <v>10500</v>
      </c>
      <c r="H15" s="9">
        <v>8000</v>
      </c>
      <c r="I15" s="206"/>
      <c r="J15" s="206"/>
      <c r="K15" s="256">
        <v>8000</v>
      </c>
      <c r="L15" s="78"/>
      <c r="M15" s="78"/>
      <c r="N15" s="257"/>
      <c r="O15" s="265"/>
      <c r="P15" s="107"/>
      <c r="Q15" s="107"/>
      <c r="R15" s="266"/>
      <c r="S15" s="268"/>
      <c r="T15" s="153"/>
      <c r="U15" s="153"/>
      <c r="V15" s="153"/>
    </row>
    <row r="16" spans="2:22" ht="25.5">
      <c r="B16" s="3">
        <v>9</v>
      </c>
      <c r="C16" s="30" t="s">
        <v>367</v>
      </c>
      <c r="D16" s="118" t="s">
        <v>417</v>
      </c>
      <c r="E16" s="4" t="s">
        <v>363</v>
      </c>
      <c r="F16" s="9">
        <f>H16+I16+J16+G16</f>
        <v>537440</v>
      </c>
      <c r="G16" s="9">
        <v>2440</v>
      </c>
      <c r="H16" s="9">
        <v>35000</v>
      </c>
      <c r="I16" s="206">
        <v>100000</v>
      </c>
      <c r="J16" s="206">
        <v>400000</v>
      </c>
      <c r="K16" s="256">
        <v>35000</v>
      </c>
      <c r="L16" s="78"/>
      <c r="M16" s="78"/>
      <c r="N16" s="257"/>
      <c r="O16" s="265">
        <v>100000</v>
      </c>
      <c r="P16" s="107"/>
      <c r="Q16" s="107"/>
      <c r="R16" s="266"/>
      <c r="S16" s="268">
        <v>400000</v>
      </c>
      <c r="T16" s="153"/>
      <c r="U16" s="153"/>
      <c r="V16" s="153"/>
    </row>
    <row r="17" spans="2:22" ht="25.5">
      <c r="B17" s="3">
        <f>B16+1</f>
        <v>10</v>
      </c>
      <c r="C17" s="30" t="s">
        <v>446</v>
      </c>
      <c r="D17" s="118" t="s">
        <v>417</v>
      </c>
      <c r="E17" s="4" t="s">
        <v>369</v>
      </c>
      <c r="F17" s="9">
        <v>1148000</v>
      </c>
      <c r="G17" s="9"/>
      <c r="H17" s="9"/>
      <c r="I17" s="206"/>
      <c r="J17" s="9">
        <v>18000</v>
      </c>
      <c r="K17" s="256"/>
      <c r="L17" s="78"/>
      <c r="M17" s="78"/>
      <c r="N17" s="257"/>
      <c r="O17" s="265"/>
      <c r="P17" s="107"/>
      <c r="Q17" s="107"/>
      <c r="R17" s="266"/>
      <c r="S17" s="268">
        <v>18000</v>
      </c>
      <c r="T17" s="153"/>
      <c r="U17" s="153"/>
      <c r="V17" s="153"/>
    </row>
    <row r="18" spans="2:22" ht="25.5">
      <c r="B18" s="3">
        <f>B17+1</f>
        <v>11</v>
      </c>
      <c r="C18" s="30" t="s">
        <v>447</v>
      </c>
      <c r="D18" s="118" t="s">
        <v>417</v>
      </c>
      <c r="E18" s="4" t="s">
        <v>369</v>
      </c>
      <c r="F18" s="9">
        <v>1393000</v>
      </c>
      <c r="G18" s="9"/>
      <c r="H18" s="9"/>
      <c r="I18" s="206"/>
      <c r="J18" s="9">
        <v>18000</v>
      </c>
      <c r="K18" s="256"/>
      <c r="L18" s="78"/>
      <c r="M18" s="78"/>
      <c r="N18" s="257"/>
      <c r="O18" s="265"/>
      <c r="P18" s="107"/>
      <c r="Q18" s="107"/>
      <c r="R18" s="266"/>
      <c r="S18" s="268">
        <v>18000</v>
      </c>
      <c r="T18" s="153"/>
      <c r="U18" s="153"/>
      <c r="V18" s="153"/>
    </row>
    <row r="19" spans="2:22" ht="25.5">
      <c r="B19" s="3">
        <f>B18+1</f>
        <v>12</v>
      </c>
      <c r="C19" s="30" t="s">
        <v>448</v>
      </c>
      <c r="D19" s="118" t="s">
        <v>417</v>
      </c>
      <c r="E19" s="4" t="s">
        <v>369</v>
      </c>
      <c r="F19" s="9">
        <v>728000</v>
      </c>
      <c r="G19" s="9"/>
      <c r="H19" s="9"/>
      <c r="I19" s="206"/>
      <c r="J19" s="9">
        <v>8000</v>
      </c>
      <c r="K19" s="256"/>
      <c r="L19" s="78"/>
      <c r="M19" s="78"/>
      <c r="N19" s="257"/>
      <c r="O19" s="265"/>
      <c r="P19" s="107"/>
      <c r="Q19" s="107"/>
      <c r="R19" s="266"/>
      <c r="S19" s="268">
        <v>8000</v>
      </c>
      <c r="T19" s="153"/>
      <c r="U19" s="153"/>
      <c r="V19" s="153"/>
    </row>
    <row r="20" spans="2:22" ht="25.5">
      <c r="B20" s="3">
        <f>B19+1</f>
        <v>13</v>
      </c>
      <c r="C20" s="30" t="s">
        <v>449</v>
      </c>
      <c r="D20" s="118" t="s">
        <v>417</v>
      </c>
      <c r="E20" s="4" t="s">
        <v>369</v>
      </c>
      <c r="F20" s="9">
        <v>998000</v>
      </c>
      <c r="G20" s="9"/>
      <c r="H20" s="9"/>
      <c r="I20" s="206"/>
      <c r="J20" s="9">
        <v>8000</v>
      </c>
      <c r="K20" s="256"/>
      <c r="L20" s="78"/>
      <c r="M20" s="78"/>
      <c r="N20" s="257"/>
      <c r="O20" s="265"/>
      <c r="P20" s="107"/>
      <c r="Q20" s="107"/>
      <c r="R20" s="266"/>
      <c r="S20" s="268">
        <v>8000</v>
      </c>
      <c r="T20" s="153"/>
      <c r="U20" s="153"/>
      <c r="V20" s="153"/>
    </row>
    <row r="21" spans="2:22" ht="51">
      <c r="B21" s="3">
        <f>B20+1</f>
        <v>14</v>
      </c>
      <c r="C21" s="30" t="s">
        <v>450</v>
      </c>
      <c r="D21" s="118" t="s">
        <v>417</v>
      </c>
      <c r="E21" s="4" t="s">
        <v>369</v>
      </c>
      <c r="F21" s="9">
        <v>5700000</v>
      </c>
      <c r="G21" s="9"/>
      <c r="H21" s="9"/>
      <c r="I21" s="206"/>
      <c r="J21" s="9">
        <v>100000</v>
      </c>
      <c r="K21" s="256"/>
      <c r="L21" s="78"/>
      <c r="M21" s="78"/>
      <c r="N21" s="257"/>
      <c r="O21" s="265"/>
      <c r="P21" s="107"/>
      <c r="Q21" s="107"/>
      <c r="R21" s="266"/>
      <c r="S21" s="268">
        <v>100000</v>
      </c>
      <c r="T21" s="153"/>
      <c r="U21" s="153"/>
      <c r="V21" s="153"/>
    </row>
    <row r="22" spans="2:22" ht="15.75">
      <c r="B22" s="202"/>
      <c r="C22" s="202"/>
      <c r="D22" s="203"/>
      <c r="E22" s="202"/>
      <c r="F22" s="204">
        <f>SUM(F8:F21)</f>
        <v>28852010.93</v>
      </c>
      <c r="G22" s="204">
        <f aca="true" t="shared" si="0" ref="G22:V22">SUM(G8:G21)</f>
        <v>241672.1</v>
      </c>
      <c r="H22" s="204">
        <f t="shared" si="0"/>
        <v>8916596.04</v>
      </c>
      <c r="I22" s="204">
        <f t="shared" si="0"/>
        <v>4860222.79</v>
      </c>
      <c r="J22" s="204">
        <f t="shared" si="0"/>
        <v>5018520</v>
      </c>
      <c r="K22" s="204">
        <f>SUM(K8:K21)</f>
        <v>2006777.32</v>
      </c>
      <c r="L22" s="204">
        <f t="shared" si="0"/>
        <v>5302781.22</v>
      </c>
      <c r="M22" s="204">
        <f t="shared" si="0"/>
        <v>0</v>
      </c>
      <c r="N22" s="204">
        <f t="shared" si="0"/>
        <v>707037.5</v>
      </c>
      <c r="O22" s="204">
        <f t="shared" si="0"/>
        <v>2109198.42</v>
      </c>
      <c r="P22" s="204">
        <f t="shared" si="0"/>
        <v>1721492.09</v>
      </c>
      <c r="Q22" s="204">
        <f t="shared" si="0"/>
        <v>0</v>
      </c>
      <c r="R22" s="204">
        <f t="shared" si="0"/>
        <v>1929532.28</v>
      </c>
      <c r="S22" s="269">
        <f t="shared" si="0"/>
        <v>1603020</v>
      </c>
      <c r="T22" s="269">
        <f t="shared" si="0"/>
        <v>0</v>
      </c>
      <c r="U22" s="269">
        <f t="shared" si="0"/>
        <v>0</v>
      </c>
      <c r="V22" s="269">
        <f t="shared" si="0"/>
        <v>3415500</v>
      </c>
    </row>
  </sheetData>
  <mergeCells count="10">
    <mergeCell ref="R1:V1"/>
    <mergeCell ref="F4:I4"/>
    <mergeCell ref="F5:F7"/>
    <mergeCell ref="K4:V4"/>
    <mergeCell ref="K5:N5"/>
    <mergeCell ref="S5:V5"/>
    <mergeCell ref="B4:B7"/>
    <mergeCell ref="C4:C7"/>
    <mergeCell ref="D4:D7"/>
    <mergeCell ref="E4:E7"/>
  </mergeCells>
  <printOptions horizontalCentered="1"/>
  <pageMargins left="0.46" right="0.07874015748031496" top="0.13" bottom="0.14" header="0.13" footer="0.14"/>
  <pageSetup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sheetPr codeName="Arkusz6"/>
  <dimension ref="B1:G257"/>
  <sheetViews>
    <sheetView workbookViewId="0" topLeftCell="B1">
      <pane xSplit="4" ySplit="4" topLeftCell="F241" activePane="bottomRight" state="frozen"/>
      <selection pane="topLeft" activeCell="B1" sqref="B1"/>
      <selection pane="topRight" activeCell="G1" sqref="G1"/>
      <selection pane="bottomLeft" activeCell="B2" sqref="B2"/>
      <selection pane="bottomRight" activeCell="F243" sqref="F243"/>
    </sheetView>
  </sheetViews>
  <sheetFormatPr defaultColWidth="9.00390625" defaultRowHeight="12.75"/>
  <cols>
    <col min="1" max="1" width="2.25390625" style="68" customWidth="1"/>
    <col min="2" max="2" width="4.25390625" style="68" customWidth="1"/>
    <col min="3" max="3" width="5.75390625" style="68" customWidth="1"/>
    <col min="4" max="4" width="4.875" style="68" customWidth="1"/>
    <col min="5" max="5" width="39.00390625" style="68" customWidth="1"/>
    <col min="6" max="6" width="29.25390625" style="68" customWidth="1"/>
    <col min="7" max="7" width="53.625" style="93" customWidth="1"/>
    <col min="8" max="8" width="11.625" style="68" customWidth="1"/>
    <col min="9" max="14" width="9.125" style="68" customWidth="1"/>
    <col min="15" max="16384" width="9.125" style="68" customWidth="1"/>
  </cols>
  <sheetData>
    <row r="1" spans="2:7" ht="13.5" thickBot="1">
      <c r="B1" s="66" t="s">
        <v>170</v>
      </c>
      <c r="C1" s="113"/>
      <c r="D1" s="69"/>
      <c r="F1" s="92"/>
      <c r="G1" s="55" t="s">
        <v>171</v>
      </c>
    </row>
    <row r="2" spans="2:7" s="7" customFormat="1" ht="15.75" customHeight="1">
      <c r="B2" s="308" t="s">
        <v>389</v>
      </c>
      <c r="C2" s="300" t="s">
        <v>432</v>
      </c>
      <c r="D2" s="300" t="s">
        <v>391</v>
      </c>
      <c r="E2" s="300" t="s">
        <v>392</v>
      </c>
      <c r="F2" s="304" t="s">
        <v>176</v>
      </c>
      <c r="G2" s="306"/>
    </row>
    <row r="3" spans="2:7" s="165" customFormat="1" ht="63.75" customHeight="1" thickBot="1">
      <c r="B3" s="309"/>
      <c r="C3" s="301"/>
      <c r="D3" s="301"/>
      <c r="E3" s="301"/>
      <c r="F3" s="305"/>
      <c r="G3" s="307"/>
    </row>
    <row r="4" spans="2:7" ht="12.75">
      <c r="B4" s="130"/>
      <c r="C4" s="114"/>
      <c r="D4" s="114"/>
      <c r="E4" s="114"/>
      <c r="F4" s="114"/>
      <c r="G4" s="131"/>
    </row>
    <row r="5" spans="2:7" ht="12.75">
      <c r="B5" s="132" t="s">
        <v>454</v>
      </c>
      <c r="C5" s="115"/>
      <c r="D5" s="115"/>
      <c r="E5" s="116" t="s">
        <v>455</v>
      </c>
      <c r="F5" s="117">
        <f>F6+F10+F12+F14+F16</f>
        <v>604840</v>
      </c>
      <c r="G5" s="133"/>
    </row>
    <row r="6" spans="2:7" s="7" customFormat="1" ht="12.75" customHeight="1">
      <c r="B6" s="134"/>
      <c r="C6" s="28" t="s">
        <v>456</v>
      </c>
      <c r="D6" s="3"/>
      <c r="E6" s="29" t="s">
        <v>231</v>
      </c>
      <c r="F6" s="26">
        <f>SUM(F7:F9)</f>
        <v>27000</v>
      </c>
      <c r="G6" s="206"/>
    </row>
    <row r="7" spans="2:7" s="7" customFormat="1" ht="12.75">
      <c r="B7" s="134"/>
      <c r="C7" s="21"/>
      <c r="D7" s="4">
        <v>4210</v>
      </c>
      <c r="E7" s="8" t="s">
        <v>3</v>
      </c>
      <c r="F7" s="15">
        <v>2000</v>
      </c>
      <c r="G7" s="206" t="s">
        <v>43</v>
      </c>
    </row>
    <row r="8" spans="2:7" s="7" customFormat="1" ht="12.75">
      <c r="B8" s="134"/>
      <c r="C8" s="21"/>
      <c r="D8" s="4">
        <v>4270</v>
      </c>
      <c r="E8" s="8" t="s">
        <v>499</v>
      </c>
      <c r="F8" s="15">
        <v>20000</v>
      </c>
      <c r="G8" s="310" t="s">
        <v>378</v>
      </c>
    </row>
    <row r="9" spans="2:7" s="7" customFormat="1" ht="12.75">
      <c r="B9" s="134"/>
      <c r="C9" s="21"/>
      <c r="D9" s="4">
        <v>4300</v>
      </c>
      <c r="E9" s="8" t="s">
        <v>500</v>
      </c>
      <c r="F9" s="15">
        <v>5000</v>
      </c>
      <c r="G9" s="312"/>
    </row>
    <row r="10" spans="2:7" s="7" customFormat="1" ht="25.5">
      <c r="B10" s="134"/>
      <c r="C10" s="28" t="s">
        <v>457</v>
      </c>
      <c r="D10" s="3"/>
      <c r="E10" s="29" t="s">
        <v>476</v>
      </c>
      <c r="F10" s="26">
        <f>SUM(F11:F11)</f>
        <v>501440</v>
      </c>
      <c r="G10" s="136"/>
    </row>
    <row r="11" spans="2:7" s="7" customFormat="1" ht="57.75" customHeight="1">
      <c r="B11" s="137"/>
      <c r="C11" s="21"/>
      <c r="D11" s="4">
        <v>6050</v>
      </c>
      <c r="E11" s="8" t="s">
        <v>1</v>
      </c>
      <c r="F11" s="188">
        <f>80000+1000000+8000+101000+121000+83440+8000-500000-400000</f>
        <v>501440</v>
      </c>
      <c r="G11" s="136" t="s">
        <v>76</v>
      </c>
    </row>
    <row r="12" spans="2:7" s="7" customFormat="1" ht="51">
      <c r="B12" s="134"/>
      <c r="C12" s="28" t="s">
        <v>177</v>
      </c>
      <c r="D12" s="3"/>
      <c r="E12" s="29" t="s">
        <v>178</v>
      </c>
      <c r="F12" s="26">
        <f>SUM(F13:F13)</f>
        <v>7705</v>
      </c>
      <c r="G12" s="314" t="s">
        <v>343</v>
      </c>
    </row>
    <row r="13" spans="2:7" s="7" customFormat="1" ht="12.75">
      <c r="B13" s="134"/>
      <c r="C13" s="4"/>
      <c r="D13" s="4">
        <v>4300</v>
      </c>
      <c r="E13" s="8" t="s">
        <v>500</v>
      </c>
      <c r="F13" s="15">
        <v>7705</v>
      </c>
      <c r="G13" s="315"/>
    </row>
    <row r="14" spans="2:7" s="7" customFormat="1" ht="14.25" customHeight="1">
      <c r="B14" s="134"/>
      <c r="C14" s="28" t="s">
        <v>160</v>
      </c>
      <c r="D14" s="4"/>
      <c r="E14" s="29" t="s">
        <v>161</v>
      </c>
      <c r="F14" s="26">
        <f>SUM(F15)</f>
        <v>19000</v>
      </c>
      <c r="G14" s="138"/>
    </row>
    <row r="15" spans="2:7" s="7" customFormat="1" ht="38.25">
      <c r="B15" s="134"/>
      <c r="C15" s="4"/>
      <c r="D15" s="4">
        <v>2850</v>
      </c>
      <c r="E15" s="8" t="s">
        <v>184</v>
      </c>
      <c r="F15" s="15">
        <v>19000</v>
      </c>
      <c r="G15" s="136" t="s">
        <v>291</v>
      </c>
    </row>
    <row r="16" spans="2:7" s="7" customFormat="1" ht="18.75" customHeight="1">
      <c r="B16" s="134"/>
      <c r="C16" s="28" t="s">
        <v>228</v>
      </c>
      <c r="D16" s="3"/>
      <c r="E16" s="29" t="s">
        <v>406</v>
      </c>
      <c r="F16" s="26">
        <f>F18+F17</f>
        <v>49695</v>
      </c>
      <c r="G16" s="136"/>
    </row>
    <row r="17" spans="2:7" s="7" customFormat="1" ht="12.75">
      <c r="B17" s="134"/>
      <c r="C17" s="28"/>
      <c r="D17" s="4">
        <v>4210</v>
      </c>
      <c r="E17" s="8" t="s">
        <v>3</v>
      </c>
      <c r="F17" s="15">
        <v>6000</v>
      </c>
      <c r="G17" s="310" t="s">
        <v>344</v>
      </c>
    </row>
    <row r="18" spans="2:7" s="7" customFormat="1" ht="21.75" customHeight="1">
      <c r="B18" s="134"/>
      <c r="C18" s="4"/>
      <c r="D18" s="4">
        <v>4300</v>
      </c>
      <c r="E18" s="8" t="s">
        <v>500</v>
      </c>
      <c r="F18" s="15">
        <v>43695</v>
      </c>
      <c r="G18" s="312"/>
    </row>
    <row r="19" spans="2:7" s="7" customFormat="1" ht="12.75">
      <c r="B19" s="132" t="s">
        <v>458</v>
      </c>
      <c r="C19" s="115"/>
      <c r="D19" s="115"/>
      <c r="E19" s="116" t="s">
        <v>407</v>
      </c>
      <c r="F19" s="120">
        <f>F20</f>
        <v>5000</v>
      </c>
      <c r="G19" s="140"/>
    </row>
    <row r="20" spans="2:7" s="7" customFormat="1" ht="16.5" customHeight="1">
      <c r="B20" s="134"/>
      <c r="C20" s="28" t="s">
        <v>477</v>
      </c>
      <c r="D20" s="3"/>
      <c r="E20" s="29" t="s">
        <v>406</v>
      </c>
      <c r="F20" s="26">
        <f>SUM(F21:F22)</f>
        <v>5000</v>
      </c>
      <c r="G20" s="136"/>
    </row>
    <row r="21" spans="2:7" s="7" customFormat="1" ht="12.75">
      <c r="B21" s="134"/>
      <c r="C21" s="21"/>
      <c r="D21" s="4">
        <v>4210</v>
      </c>
      <c r="E21" s="8" t="s">
        <v>3</v>
      </c>
      <c r="F21" s="15">
        <v>2000</v>
      </c>
      <c r="G21" s="136" t="s">
        <v>229</v>
      </c>
    </row>
    <row r="22" spans="2:7" s="7" customFormat="1" ht="12.75">
      <c r="B22" s="134"/>
      <c r="C22" s="21"/>
      <c r="D22" s="4">
        <v>4300</v>
      </c>
      <c r="E22" s="8" t="s">
        <v>500</v>
      </c>
      <c r="F22" s="15">
        <v>3000</v>
      </c>
      <c r="G22" s="136" t="s">
        <v>230</v>
      </c>
    </row>
    <row r="23" spans="2:7" s="7" customFormat="1" ht="12.75">
      <c r="B23" s="139">
        <v>600</v>
      </c>
      <c r="C23" s="119"/>
      <c r="D23" s="119"/>
      <c r="E23" s="23" t="s">
        <v>459</v>
      </c>
      <c r="F23" s="120">
        <f>F24</f>
        <v>45000</v>
      </c>
      <c r="G23" s="140"/>
    </row>
    <row r="24" spans="2:7" s="7" customFormat="1" ht="12.75" customHeight="1">
      <c r="B24" s="134"/>
      <c r="C24" s="3">
        <v>60016</v>
      </c>
      <c r="D24" s="3"/>
      <c r="E24" s="29" t="s">
        <v>460</v>
      </c>
      <c r="F24" s="26">
        <f>SUM(F25:F26)</f>
        <v>45000</v>
      </c>
      <c r="G24" s="310" t="s">
        <v>77</v>
      </c>
    </row>
    <row r="25" spans="2:7" s="7" customFormat="1" ht="12.75">
      <c r="B25" s="137"/>
      <c r="C25" s="21"/>
      <c r="D25" s="4">
        <v>6050</v>
      </c>
      <c r="E25" s="8" t="s">
        <v>1</v>
      </c>
      <c r="F25" s="15">
        <f>65000-20000</f>
        <v>45000</v>
      </c>
      <c r="G25" s="311"/>
    </row>
    <row r="26" spans="2:7" s="7" customFormat="1" ht="12.75" hidden="1">
      <c r="B26" s="137"/>
      <c r="C26" s="21"/>
      <c r="D26" s="4">
        <v>6052</v>
      </c>
      <c r="E26" s="8" t="s">
        <v>1</v>
      </c>
      <c r="F26" s="15"/>
      <c r="G26" s="270"/>
    </row>
    <row r="27" spans="2:7" s="7" customFormat="1" ht="12.75">
      <c r="B27" s="139">
        <v>700</v>
      </c>
      <c r="C27" s="119"/>
      <c r="D27" s="119"/>
      <c r="E27" s="23" t="s">
        <v>410</v>
      </c>
      <c r="F27" s="120">
        <f>F30+F28</f>
        <v>615533</v>
      </c>
      <c r="G27" s="140"/>
    </row>
    <row r="28" spans="2:7" s="7" customFormat="1" ht="25.5">
      <c r="B28" s="134"/>
      <c r="C28" s="3">
        <v>70004</v>
      </c>
      <c r="D28" s="3"/>
      <c r="E28" s="29" t="s">
        <v>162</v>
      </c>
      <c r="F28" s="26">
        <f>SUM(F29:F29)</f>
        <v>370533</v>
      </c>
      <c r="G28" s="138"/>
    </row>
    <row r="29" spans="2:7" s="92" customFormat="1" ht="25.5">
      <c r="B29" s="141"/>
      <c r="C29" s="111"/>
      <c r="D29" s="4">
        <v>2650</v>
      </c>
      <c r="E29" s="8" t="s">
        <v>384</v>
      </c>
      <c r="F29" s="15">
        <v>370533</v>
      </c>
      <c r="G29" s="135" t="s">
        <v>198</v>
      </c>
    </row>
    <row r="30" spans="2:7" s="121" customFormat="1" ht="12.75">
      <c r="B30" s="142"/>
      <c r="C30" s="3">
        <v>70005</v>
      </c>
      <c r="D30" s="3"/>
      <c r="E30" s="29" t="s">
        <v>419</v>
      </c>
      <c r="F30" s="26">
        <f>SUM(F31:F33)</f>
        <v>245000</v>
      </c>
      <c r="G30" s="208"/>
    </row>
    <row r="31" spans="2:7" s="121" customFormat="1" ht="25.5">
      <c r="B31" s="142"/>
      <c r="C31" s="16"/>
      <c r="D31" s="4">
        <v>4210</v>
      </c>
      <c r="E31" s="8" t="s">
        <v>3</v>
      </c>
      <c r="F31" s="31">
        <f>40000+60000+40000-40000</f>
        <v>100000</v>
      </c>
      <c r="G31" s="210" t="s">
        <v>304</v>
      </c>
    </row>
    <row r="32" spans="2:7" s="121" customFormat="1" ht="51">
      <c r="B32" s="142"/>
      <c r="C32" s="16"/>
      <c r="D32" s="4">
        <v>4300</v>
      </c>
      <c r="E32" s="8" t="s">
        <v>500</v>
      </c>
      <c r="F32" s="31">
        <f>30000+10000+15000+20000+10000+5000+5000+35000+20000-40000</f>
        <v>110000</v>
      </c>
      <c r="G32" s="207" t="s">
        <v>23</v>
      </c>
    </row>
    <row r="33" spans="2:7" s="121" customFormat="1" ht="12.75">
      <c r="B33" s="142"/>
      <c r="C33" s="16"/>
      <c r="D33" s="4">
        <v>6050</v>
      </c>
      <c r="E33" s="8" t="s">
        <v>1</v>
      </c>
      <c r="F33" s="31">
        <v>35000</v>
      </c>
      <c r="G33" s="212" t="s">
        <v>367</v>
      </c>
    </row>
    <row r="34" spans="2:7" s="7" customFormat="1" ht="12.75">
      <c r="B34" s="139">
        <v>710</v>
      </c>
      <c r="C34" s="119"/>
      <c r="D34" s="119"/>
      <c r="E34" s="23" t="s">
        <v>185</v>
      </c>
      <c r="F34" s="120">
        <f>F35+F37</f>
        <v>343000</v>
      </c>
      <c r="G34" s="120"/>
    </row>
    <row r="35" spans="2:7" s="7" customFormat="1" ht="27" customHeight="1">
      <c r="B35" s="134"/>
      <c r="C35" s="3">
        <v>71004</v>
      </c>
      <c r="D35" s="3"/>
      <c r="E35" s="29" t="s">
        <v>186</v>
      </c>
      <c r="F35" s="26">
        <f>SUM(F36:F36)</f>
        <v>333000</v>
      </c>
      <c r="G35" s="209"/>
    </row>
    <row r="36" spans="2:7" s="7" customFormat="1" ht="38.25">
      <c r="B36" s="134"/>
      <c r="C36" s="4"/>
      <c r="D36" s="4">
        <v>4300</v>
      </c>
      <c r="E36" s="8" t="s">
        <v>500</v>
      </c>
      <c r="F36" s="15">
        <f>573000-40000-200000</f>
        <v>333000</v>
      </c>
      <c r="G36" s="136" t="s">
        <v>151</v>
      </c>
    </row>
    <row r="37" spans="2:7" s="7" customFormat="1" ht="12.75">
      <c r="B37" s="134"/>
      <c r="C37" s="3">
        <v>71014</v>
      </c>
      <c r="D37" s="3"/>
      <c r="E37" s="29" t="s">
        <v>187</v>
      </c>
      <c r="F37" s="26">
        <f>SUM(F38:F38)</f>
        <v>10000</v>
      </c>
      <c r="G37" s="136"/>
    </row>
    <row r="38" spans="2:7" s="7" customFormat="1" ht="12.75">
      <c r="B38" s="134"/>
      <c r="C38" s="4"/>
      <c r="D38" s="4">
        <v>4300</v>
      </c>
      <c r="E38" s="8" t="s">
        <v>500</v>
      </c>
      <c r="F38" s="15">
        <v>10000</v>
      </c>
      <c r="G38" s="136" t="s">
        <v>487</v>
      </c>
    </row>
    <row r="39" spans="2:7" s="7" customFormat="1" ht="12.75">
      <c r="B39" s="139">
        <v>750</v>
      </c>
      <c r="C39" s="119"/>
      <c r="D39" s="119"/>
      <c r="E39" s="23" t="s">
        <v>461</v>
      </c>
      <c r="F39" s="120">
        <f>F40+F43+F50+F65</f>
        <v>2250218</v>
      </c>
      <c r="G39" s="140"/>
    </row>
    <row r="40" spans="2:7" s="7" customFormat="1" ht="12.75">
      <c r="B40" s="134"/>
      <c r="C40" s="3">
        <v>75011</v>
      </c>
      <c r="D40" s="3"/>
      <c r="E40" s="29" t="s">
        <v>426</v>
      </c>
      <c r="F40" s="26">
        <f>SUM(F41:F42)</f>
        <v>53000</v>
      </c>
      <c r="G40" s="136"/>
    </row>
    <row r="41" spans="2:7" s="7" customFormat="1" ht="12.75">
      <c r="B41" s="134"/>
      <c r="C41" s="4"/>
      <c r="D41" s="4">
        <v>4010</v>
      </c>
      <c r="E41" s="8" t="s">
        <v>433</v>
      </c>
      <c r="F41" s="15">
        <v>45210</v>
      </c>
      <c r="G41" s="310" t="s">
        <v>188</v>
      </c>
    </row>
    <row r="42" spans="2:7" s="7" customFormat="1" ht="12.75">
      <c r="B42" s="134"/>
      <c r="C42" s="4"/>
      <c r="D42" s="4">
        <v>4110</v>
      </c>
      <c r="E42" s="8" t="s">
        <v>2</v>
      </c>
      <c r="F42" s="15">
        <v>7790</v>
      </c>
      <c r="G42" s="312"/>
    </row>
    <row r="43" spans="2:7" s="7" customFormat="1" ht="12.75">
      <c r="B43" s="134"/>
      <c r="C43" s="3">
        <v>75022</v>
      </c>
      <c r="D43" s="3"/>
      <c r="E43" s="29" t="s">
        <v>452</v>
      </c>
      <c r="F43" s="26">
        <f>SUM(F44:F49)</f>
        <v>214800</v>
      </c>
      <c r="G43" s="136"/>
    </row>
    <row r="44" spans="2:7" s="7" customFormat="1" ht="38.25">
      <c r="B44" s="134"/>
      <c r="C44" s="3"/>
      <c r="D44" s="59">
        <v>2710</v>
      </c>
      <c r="E44" s="60" t="s">
        <v>108</v>
      </c>
      <c r="F44" s="15">
        <v>42000</v>
      </c>
      <c r="G44" s="136" t="s">
        <v>78</v>
      </c>
    </row>
    <row r="45" spans="2:7" s="7" customFormat="1" ht="38.25">
      <c r="B45" s="134"/>
      <c r="C45" s="4"/>
      <c r="D45" s="4">
        <v>3030</v>
      </c>
      <c r="E45" s="8" t="s">
        <v>435</v>
      </c>
      <c r="F45" s="15">
        <v>88800</v>
      </c>
      <c r="G45" s="136" t="s">
        <v>370</v>
      </c>
    </row>
    <row r="46" spans="2:7" s="7" customFormat="1" ht="38.25">
      <c r="B46" s="134"/>
      <c r="C46" s="4"/>
      <c r="D46" s="4">
        <v>4210</v>
      </c>
      <c r="E46" s="8" t="s">
        <v>3</v>
      </c>
      <c r="F46" s="15">
        <v>50000</v>
      </c>
      <c r="G46" s="136" t="s">
        <v>347</v>
      </c>
    </row>
    <row r="47" spans="2:7" s="7" customFormat="1" ht="25.5">
      <c r="B47" s="134"/>
      <c r="C47" s="4"/>
      <c r="D47" s="4">
        <v>4300</v>
      </c>
      <c r="E47" s="8" t="s">
        <v>500</v>
      </c>
      <c r="F47" s="15">
        <v>30500</v>
      </c>
      <c r="G47" s="136" t="s">
        <v>348</v>
      </c>
    </row>
    <row r="48" spans="2:7" s="7" customFormat="1" ht="12.75">
      <c r="B48" s="134"/>
      <c r="C48" s="4"/>
      <c r="D48" s="4">
        <v>4410</v>
      </c>
      <c r="E48" s="8" t="s">
        <v>436</v>
      </c>
      <c r="F48" s="15">
        <v>1500</v>
      </c>
      <c r="G48" s="136" t="s">
        <v>346</v>
      </c>
    </row>
    <row r="49" spans="2:7" s="7" customFormat="1" ht="12.75">
      <c r="B49" s="134"/>
      <c r="C49" s="4"/>
      <c r="D49" s="4">
        <v>4420</v>
      </c>
      <c r="E49" s="8" t="s">
        <v>388</v>
      </c>
      <c r="F49" s="15">
        <v>2000</v>
      </c>
      <c r="G49" s="136" t="s">
        <v>345</v>
      </c>
    </row>
    <row r="50" spans="2:7" s="7" customFormat="1" ht="12.75">
      <c r="B50" s="134"/>
      <c r="C50" s="3">
        <v>75023</v>
      </c>
      <c r="D50" s="3"/>
      <c r="E50" s="29" t="s">
        <v>427</v>
      </c>
      <c r="F50" s="26">
        <f>SUM(F51:F64)</f>
        <v>1912418</v>
      </c>
      <c r="G50" s="136"/>
    </row>
    <row r="51" spans="2:7" s="7" customFormat="1" ht="25.5">
      <c r="B51" s="134"/>
      <c r="C51" s="4"/>
      <c r="D51" s="4">
        <v>3020</v>
      </c>
      <c r="E51" s="8" t="s">
        <v>0</v>
      </c>
      <c r="F51" s="15">
        <v>12000</v>
      </c>
      <c r="G51" s="136" t="s">
        <v>350</v>
      </c>
    </row>
    <row r="52" spans="2:7" s="7" customFormat="1" ht="25.5">
      <c r="B52" s="134"/>
      <c r="C52" s="4"/>
      <c r="D52" s="4">
        <v>4010</v>
      </c>
      <c r="E52" s="8" t="s">
        <v>433</v>
      </c>
      <c r="F52" s="15">
        <v>1080000</v>
      </c>
      <c r="G52" s="136" t="s">
        <v>79</v>
      </c>
    </row>
    <row r="53" spans="2:7" s="7" customFormat="1" ht="12.75">
      <c r="B53" s="134"/>
      <c r="C53" s="4"/>
      <c r="D53" s="4">
        <v>4040</v>
      </c>
      <c r="E53" s="8" t="s">
        <v>434</v>
      </c>
      <c r="F53" s="15">
        <v>69700</v>
      </c>
      <c r="G53" s="136"/>
    </row>
    <row r="54" spans="2:7" s="7" customFormat="1" ht="12.75">
      <c r="B54" s="134"/>
      <c r="C54" s="4"/>
      <c r="D54" s="4">
        <v>4110</v>
      </c>
      <c r="E54" s="8" t="s">
        <v>2</v>
      </c>
      <c r="F54" s="15">
        <v>188000</v>
      </c>
      <c r="G54" s="136"/>
    </row>
    <row r="55" spans="2:7" s="7" customFormat="1" ht="12.75">
      <c r="B55" s="134"/>
      <c r="C55" s="4"/>
      <c r="D55" s="4">
        <v>4120</v>
      </c>
      <c r="E55" s="8" t="s">
        <v>438</v>
      </c>
      <c r="F55" s="15">
        <v>26630</v>
      </c>
      <c r="G55" s="136"/>
    </row>
    <row r="56" spans="2:7" s="7" customFormat="1" ht="25.5">
      <c r="B56" s="134"/>
      <c r="C56" s="4"/>
      <c r="D56" s="4">
        <v>4210</v>
      </c>
      <c r="E56" s="8" t="s">
        <v>3</v>
      </c>
      <c r="F56" s="15">
        <f>45000+4500+2700+600+2000+23180+3000+4000+700+14100+1600+400</f>
        <v>101780</v>
      </c>
      <c r="G56" s="136" t="s">
        <v>327</v>
      </c>
    </row>
    <row r="57" spans="2:7" s="7" customFormat="1" ht="12.75">
      <c r="B57" s="134"/>
      <c r="C57" s="4"/>
      <c r="D57" s="4">
        <v>4260</v>
      </c>
      <c r="E57" s="8" t="s">
        <v>501</v>
      </c>
      <c r="F57" s="15">
        <v>30000</v>
      </c>
      <c r="G57" s="136" t="s">
        <v>61</v>
      </c>
    </row>
    <row r="58" spans="2:7" s="7" customFormat="1" ht="38.25">
      <c r="B58" s="134"/>
      <c r="C58" s="4"/>
      <c r="D58" s="4">
        <v>4270</v>
      </c>
      <c r="E58" s="8" t="s">
        <v>499</v>
      </c>
      <c r="F58" s="15">
        <v>30000</v>
      </c>
      <c r="G58" s="213" t="s">
        <v>351</v>
      </c>
    </row>
    <row r="59" spans="2:7" s="7" customFormat="1" ht="25.5">
      <c r="B59" s="134"/>
      <c r="C59" s="4"/>
      <c r="D59" s="4">
        <v>4300</v>
      </c>
      <c r="E59" s="8" t="s">
        <v>500</v>
      </c>
      <c r="F59" s="15">
        <v>160000</v>
      </c>
      <c r="G59" s="136" t="s">
        <v>274</v>
      </c>
    </row>
    <row r="60" spans="2:7" s="7" customFormat="1" ht="12.75">
      <c r="B60" s="134"/>
      <c r="C60" s="4"/>
      <c r="D60" s="4">
        <v>4410</v>
      </c>
      <c r="E60" s="8" t="s">
        <v>436</v>
      </c>
      <c r="F60" s="15">
        <v>36000</v>
      </c>
      <c r="G60" s="136" t="s">
        <v>80</v>
      </c>
    </row>
    <row r="61" spans="2:7" s="7" customFormat="1" ht="12.75">
      <c r="B61" s="134"/>
      <c r="C61" s="4"/>
      <c r="D61" s="4">
        <v>4420</v>
      </c>
      <c r="E61" s="8" t="s">
        <v>388</v>
      </c>
      <c r="F61" s="15">
        <v>2000</v>
      </c>
      <c r="G61" s="136"/>
    </row>
    <row r="62" spans="2:7" s="7" customFormat="1" ht="38.25">
      <c r="B62" s="134"/>
      <c r="C62" s="4"/>
      <c r="D62" s="4">
        <v>4430</v>
      </c>
      <c r="E62" s="8" t="s">
        <v>437</v>
      </c>
      <c r="F62" s="15">
        <f>8599+6709+30000</f>
        <v>45308</v>
      </c>
      <c r="G62" s="136" t="s">
        <v>349</v>
      </c>
    </row>
    <row r="63" spans="2:7" s="7" customFormat="1" ht="25.5">
      <c r="B63" s="134"/>
      <c r="C63" s="4"/>
      <c r="D63" s="4">
        <v>4440</v>
      </c>
      <c r="E63" s="8" t="s">
        <v>439</v>
      </c>
      <c r="F63" s="15">
        <v>31000</v>
      </c>
      <c r="G63" s="136"/>
    </row>
    <row r="64" spans="2:7" s="7" customFormat="1" ht="51">
      <c r="B64" s="134"/>
      <c r="C64" s="4"/>
      <c r="D64" s="4">
        <v>6050</v>
      </c>
      <c r="E64" s="8" t="s">
        <v>1</v>
      </c>
      <c r="F64" s="15">
        <v>100000</v>
      </c>
      <c r="G64" s="136" t="s">
        <v>81</v>
      </c>
    </row>
    <row r="65" spans="2:7" s="7" customFormat="1" ht="12.75">
      <c r="B65" s="134"/>
      <c r="C65" s="3">
        <v>75095</v>
      </c>
      <c r="D65" s="3"/>
      <c r="E65" s="29" t="s">
        <v>406</v>
      </c>
      <c r="F65" s="26">
        <f>SUM(F66:F69)</f>
        <v>70000</v>
      </c>
      <c r="G65" s="136"/>
    </row>
    <row r="66" spans="2:7" s="7" customFormat="1" ht="12.75">
      <c r="B66" s="134"/>
      <c r="C66" s="3"/>
      <c r="D66" s="4">
        <v>4210</v>
      </c>
      <c r="E66" s="8" t="s">
        <v>3</v>
      </c>
      <c r="F66" s="15">
        <v>27000</v>
      </c>
      <c r="G66" s="310" t="s">
        <v>352</v>
      </c>
    </row>
    <row r="67" spans="2:7" s="7" customFormat="1" ht="12.75">
      <c r="B67" s="134"/>
      <c r="C67" s="3"/>
      <c r="D67" s="4">
        <v>4260</v>
      </c>
      <c r="E67" s="8" t="s">
        <v>501</v>
      </c>
      <c r="F67" s="15">
        <v>24000</v>
      </c>
      <c r="G67" s="311"/>
    </row>
    <row r="68" spans="2:7" s="7" customFormat="1" ht="12.75">
      <c r="B68" s="134"/>
      <c r="C68" s="3"/>
      <c r="D68" s="4">
        <v>4270</v>
      </c>
      <c r="E68" s="8" t="s">
        <v>5</v>
      </c>
      <c r="F68" s="15">
        <v>2000</v>
      </c>
      <c r="G68" s="311"/>
    </row>
    <row r="69" spans="2:7" s="7" customFormat="1" ht="12.75">
      <c r="B69" s="134"/>
      <c r="C69" s="4"/>
      <c r="D69" s="4">
        <v>4300</v>
      </c>
      <c r="E69" s="8" t="s">
        <v>500</v>
      </c>
      <c r="F69" s="15">
        <v>17000</v>
      </c>
      <c r="G69" s="312"/>
    </row>
    <row r="70" spans="2:7" s="7" customFormat="1" ht="25.5">
      <c r="B70" s="139">
        <v>751</v>
      </c>
      <c r="C70" s="119"/>
      <c r="D70" s="119"/>
      <c r="E70" s="23" t="s">
        <v>123</v>
      </c>
      <c r="F70" s="120">
        <f>F71</f>
        <v>1053</v>
      </c>
      <c r="G70" s="140"/>
    </row>
    <row r="71" spans="2:7" s="103" customFormat="1" ht="25.5">
      <c r="B71" s="134"/>
      <c r="C71" s="16">
        <v>75101</v>
      </c>
      <c r="D71" s="16"/>
      <c r="E71" s="88" t="s">
        <v>45</v>
      </c>
      <c r="F71" s="26">
        <f>SUM(F72:F72)</f>
        <v>1053</v>
      </c>
      <c r="G71" s="205"/>
    </row>
    <row r="72" spans="2:7" s="7" customFormat="1" ht="20.25" customHeight="1">
      <c r="B72" s="134"/>
      <c r="C72" s="4"/>
      <c r="D72" s="4">
        <v>4300</v>
      </c>
      <c r="E72" s="8" t="s">
        <v>500</v>
      </c>
      <c r="F72" s="15">
        <v>1053</v>
      </c>
      <c r="G72" s="206" t="s">
        <v>188</v>
      </c>
    </row>
    <row r="73" spans="2:7" s="7" customFormat="1" ht="25.5">
      <c r="B73" s="139">
        <v>754</v>
      </c>
      <c r="C73" s="119"/>
      <c r="D73" s="119"/>
      <c r="E73" s="23" t="s">
        <v>463</v>
      </c>
      <c r="F73" s="120">
        <f>F74+F76+F85</f>
        <v>139300</v>
      </c>
      <c r="G73" s="140"/>
    </row>
    <row r="74" spans="2:7" s="7" customFormat="1" ht="12.75">
      <c r="B74" s="134"/>
      <c r="C74" s="3">
        <v>75403</v>
      </c>
      <c r="D74" s="3"/>
      <c r="E74" s="29" t="s">
        <v>453</v>
      </c>
      <c r="F74" s="26">
        <f>SUM(F75:F75)</f>
        <v>2000</v>
      </c>
      <c r="G74" s="136"/>
    </row>
    <row r="75" spans="2:7" s="7" customFormat="1" ht="12.75">
      <c r="B75" s="134"/>
      <c r="C75" s="122"/>
      <c r="D75" s="4">
        <v>4210</v>
      </c>
      <c r="E75" s="8" t="s">
        <v>3</v>
      </c>
      <c r="F75" s="15">
        <v>2000</v>
      </c>
      <c r="G75" s="136" t="s">
        <v>488</v>
      </c>
    </row>
    <row r="76" spans="2:7" s="7" customFormat="1" ht="12.75">
      <c r="B76" s="134"/>
      <c r="C76" s="3">
        <v>75412</v>
      </c>
      <c r="D76" s="3"/>
      <c r="E76" s="29" t="s">
        <v>418</v>
      </c>
      <c r="F76" s="26">
        <f>SUM(F77:F84)</f>
        <v>134800</v>
      </c>
      <c r="G76" s="136"/>
    </row>
    <row r="77" spans="2:7" s="7" customFormat="1" ht="54.75" customHeight="1">
      <c r="B77" s="134"/>
      <c r="C77" s="3"/>
      <c r="D77" s="246">
        <v>6230</v>
      </c>
      <c r="E77" s="247" t="s">
        <v>82</v>
      </c>
      <c r="F77" s="15">
        <f>28000+5000</f>
        <v>33000</v>
      </c>
      <c r="G77" s="136" t="s">
        <v>377</v>
      </c>
    </row>
    <row r="78" spans="2:7" s="7" customFormat="1" ht="25.5">
      <c r="B78" s="134"/>
      <c r="C78" s="4"/>
      <c r="D78" s="4">
        <v>3030</v>
      </c>
      <c r="E78" s="8" t="s">
        <v>435</v>
      </c>
      <c r="F78" s="15">
        <f>19000-4000</f>
        <v>15000</v>
      </c>
      <c r="G78" s="206" t="s">
        <v>307</v>
      </c>
    </row>
    <row r="79" spans="2:7" s="7" customFormat="1" ht="83.25" customHeight="1">
      <c r="B79" s="134"/>
      <c r="C79" s="4"/>
      <c r="D79" s="4">
        <v>4210</v>
      </c>
      <c r="E79" s="8" t="s">
        <v>3</v>
      </c>
      <c r="F79" s="15">
        <v>20000</v>
      </c>
      <c r="G79" s="206" t="s">
        <v>353</v>
      </c>
    </row>
    <row r="80" spans="2:7" s="7" customFormat="1" ht="25.5">
      <c r="B80" s="134"/>
      <c r="C80" s="4"/>
      <c r="D80" s="4">
        <v>4260</v>
      </c>
      <c r="E80" s="8" t="s">
        <v>501</v>
      </c>
      <c r="F80" s="15">
        <v>5000</v>
      </c>
      <c r="G80" s="206" t="s">
        <v>20</v>
      </c>
    </row>
    <row r="81" spans="2:7" s="7" customFormat="1" ht="25.5">
      <c r="B81" s="134"/>
      <c r="C81" s="4"/>
      <c r="D81" s="4">
        <v>4270</v>
      </c>
      <c r="E81" s="8" t="s">
        <v>5</v>
      </c>
      <c r="F81" s="15">
        <f>52000-20000</f>
        <v>32000</v>
      </c>
      <c r="G81" s="206" t="s">
        <v>354</v>
      </c>
    </row>
    <row r="82" spans="2:7" s="7" customFormat="1" ht="25.5">
      <c r="B82" s="134"/>
      <c r="C82" s="4"/>
      <c r="D82" s="4">
        <v>4300</v>
      </c>
      <c r="E82" s="8" t="s">
        <v>500</v>
      </c>
      <c r="F82" s="15">
        <v>10000</v>
      </c>
      <c r="G82" s="206" t="s">
        <v>21</v>
      </c>
    </row>
    <row r="83" spans="2:7" s="7" customFormat="1" ht="12.75">
      <c r="B83" s="134"/>
      <c r="C83" s="4"/>
      <c r="D83" s="4">
        <v>4410</v>
      </c>
      <c r="E83" s="8" t="s">
        <v>436</v>
      </c>
      <c r="F83" s="15">
        <v>800</v>
      </c>
      <c r="G83" s="206" t="s">
        <v>19</v>
      </c>
    </row>
    <row r="84" spans="2:7" s="7" customFormat="1" ht="12.75">
      <c r="B84" s="134"/>
      <c r="C84" s="4"/>
      <c r="D84" s="4">
        <v>4430</v>
      </c>
      <c r="E84" s="8" t="s">
        <v>437</v>
      </c>
      <c r="F84" s="15">
        <v>19000</v>
      </c>
      <c r="G84" s="206" t="s">
        <v>22</v>
      </c>
    </row>
    <row r="85" spans="2:7" s="7" customFormat="1" ht="12.75">
      <c r="B85" s="134"/>
      <c r="C85" s="3">
        <v>75414</v>
      </c>
      <c r="D85" s="3"/>
      <c r="E85" s="29" t="s">
        <v>428</v>
      </c>
      <c r="F85" s="26">
        <f>SUM(F86:F89)</f>
        <v>2500</v>
      </c>
      <c r="G85" s="136"/>
    </row>
    <row r="86" spans="2:7" s="7" customFormat="1" ht="12.75">
      <c r="B86" s="134"/>
      <c r="C86" s="4"/>
      <c r="D86" s="4">
        <v>3030</v>
      </c>
      <c r="E86" s="8" t="s">
        <v>435</v>
      </c>
      <c r="F86" s="15">
        <v>400</v>
      </c>
      <c r="G86" s="310" t="s">
        <v>232</v>
      </c>
    </row>
    <row r="87" spans="2:7" s="7" customFormat="1" ht="12.75">
      <c r="B87" s="134"/>
      <c r="C87" s="4"/>
      <c r="D87" s="4">
        <v>4210</v>
      </c>
      <c r="E87" s="8" t="s">
        <v>3</v>
      </c>
      <c r="F87" s="15">
        <v>1000</v>
      </c>
      <c r="G87" s="311"/>
    </row>
    <row r="88" spans="2:7" s="7" customFormat="1" ht="12.75">
      <c r="B88" s="134"/>
      <c r="C88" s="4"/>
      <c r="D88" s="4">
        <v>4300</v>
      </c>
      <c r="E88" s="8" t="s">
        <v>500</v>
      </c>
      <c r="F88" s="15">
        <v>1000</v>
      </c>
      <c r="G88" s="311"/>
    </row>
    <row r="89" spans="2:7" s="7" customFormat="1" ht="12.75">
      <c r="B89" s="134"/>
      <c r="C89" s="4"/>
      <c r="D89" s="4">
        <v>4410</v>
      </c>
      <c r="E89" s="8" t="s">
        <v>436</v>
      </c>
      <c r="F89" s="15">
        <v>100</v>
      </c>
      <c r="G89" s="312"/>
    </row>
    <row r="90" spans="2:7" s="7" customFormat="1" ht="38.25">
      <c r="B90" s="139">
        <v>756</v>
      </c>
      <c r="C90" s="119"/>
      <c r="D90" s="119"/>
      <c r="E90" s="23" t="s">
        <v>464</v>
      </c>
      <c r="F90" s="120">
        <f>F91</f>
        <v>33700</v>
      </c>
      <c r="G90" s="140"/>
    </row>
    <row r="91" spans="2:7" s="7" customFormat="1" ht="25.5">
      <c r="B91" s="134"/>
      <c r="C91" s="3">
        <v>75647</v>
      </c>
      <c r="D91" s="3"/>
      <c r="E91" s="29" t="s">
        <v>408</v>
      </c>
      <c r="F91" s="26">
        <f>SUM(F92:F94)</f>
        <v>33700</v>
      </c>
      <c r="G91" s="206"/>
    </row>
    <row r="92" spans="2:7" s="7" customFormat="1" ht="18" customHeight="1">
      <c r="B92" s="134"/>
      <c r="C92" s="4"/>
      <c r="D92" s="4">
        <v>4100</v>
      </c>
      <c r="E92" s="8" t="s">
        <v>6</v>
      </c>
      <c r="F92" s="15">
        <v>31000</v>
      </c>
      <c r="G92" s="206" t="s">
        <v>24</v>
      </c>
    </row>
    <row r="93" spans="2:7" s="7" customFormat="1" ht="18" customHeight="1">
      <c r="B93" s="134"/>
      <c r="C93" s="4"/>
      <c r="D93" s="4">
        <v>4210</v>
      </c>
      <c r="E93" s="8" t="s">
        <v>3</v>
      </c>
      <c r="F93" s="15">
        <v>200</v>
      </c>
      <c r="G93" s="206" t="s">
        <v>25</v>
      </c>
    </row>
    <row r="94" spans="2:7" s="7" customFormat="1" ht="25.5">
      <c r="B94" s="134"/>
      <c r="C94" s="4"/>
      <c r="D94" s="4">
        <v>4610</v>
      </c>
      <c r="E94" s="8" t="s">
        <v>62</v>
      </c>
      <c r="F94" s="15">
        <v>2500</v>
      </c>
      <c r="G94" s="206" t="s">
        <v>83</v>
      </c>
    </row>
    <row r="95" spans="2:7" s="7" customFormat="1" ht="12.75">
      <c r="B95" s="139">
        <v>757</v>
      </c>
      <c r="C95" s="119"/>
      <c r="D95" s="119"/>
      <c r="E95" s="23" t="s">
        <v>292</v>
      </c>
      <c r="F95" s="120">
        <f>F96</f>
        <v>217224</v>
      </c>
      <c r="G95" s="140"/>
    </row>
    <row r="96" spans="2:7" s="7" customFormat="1" ht="25.5">
      <c r="B96" s="134"/>
      <c r="C96" s="3">
        <v>75702</v>
      </c>
      <c r="D96" s="3"/>
      <c r="E96" s="29" t="s">
        <v>293</v>
      </c>
      <c r="F96" s="26">
        <f>SUM(F97:F97)</f>
        <v>217224</v>
      </c>
      <c r="G96" s="313" t="s">
        <v>289</v>
      </c>
    </row>
    <row r="97" spans="2:7" s="7" customFormat="1" ht="38.25">
      <c r="B97" s="134"/>
      <c r="C97" s="4"/>
      <c r="D97" s="4">
        <v>8070</v>
      </c>
      <c r="E97" s="8" t="s">
        <v>197</v>
      </c>
      <c r="F97" s="15">
        <f>7500+4700+160+52364+2500+250000-100000</f>
        <v>217224</v>
      </c>
      <c r="G97" s="312"/>
    </row>
    <row r="98" spans="2:7" s="7" customFormat="1" ht="12.75">
      <c r="B98" s="139">
        <v>758</v>
      </c>
      <c r="C98" s="119"/>
      <c r="D98" s="119"/>
      <c r="E98" s="23" t="s">
        <v>429</v>
      </c>
      <c r="F98" s="120">
        <f>F99</f>
        <v>80000</v>
      </c>
      <c r="G98" s="140"/>
    </row>
    <row r="99" spans="2:7" s="7" customFormat="1" ht="12.75">
      <c r="B99" s="134"/>
      <c r="C99" s="3">
        <v>75818</v>
      </c>
      <c r="D99" s="3"/>
      <c r="E99" s="29" t="s">
        <v>10</v>
      </c>
      <c r="F99" s="26">
        <f>SUM(F100:F100)</f>
        <v>80000</v>
      </c>
      <c r="G99" s="310" t="s">
        <v>189</v>
      </c>
    </row>
    <row r="100" spans="2:7" s="7" customFormat="1" ht="13.5" customHeight="1">
      <c r="B100" s="134"/>
      <c r="C100" s="4"/>
      <c r="D100" s="4">
        <v>4810</v>
      </c>
      <c r="E100" s="8" t="s">
        <v>11</v>
      </c>
      <c r="F100" s="15">
        <v>80000</v>
      </c>
      <c r="G100" s="312"/>
    </row>
    <row r="101" spans="2:7" s="7" customFormat="1" ht="12.75">
      <c r="B101" s="139">
        <v>801</v>
      </c>
      <c r="C101" s="119"/>
      <c r="D101" s="119"/>
      <c r="E101" s="23" t="s">
        <v>420</v>
      </c>
      <c r="F101" s="120">
        <f>F102+F118+F132+F145+F150+F163+F161</f>
        <v>13291463</v>
      </c>
      <c r="G101" s="140"/>
    </row>
    <row r="102" spans="2:7" s="7" customFormat="1" ht="12.75">
      <c r="B102" s="134"/>
      <c r="C102" s="3">
        <v>80101</v>
      </c>
      <c r="D102" s="3"/>
      <c r="E102" s="29" t="s">
        <v>440</v>
      </c>
      <c r="F102" s="26">
        <f>SUM(F103:F117)</f>
        <v>2929539</v>
      </c>
      <c r="G102" s="136"/>
    </row>
    <row r="103" spans="2:7" s="7" customFormat="1" ht="25.5">
      <c r="B103" s="134"/>
      <c r="C103" s="4"/>
      <c r="D103" s="4">
        <v>3020</v>
      </c>
      <c r="E103" s="8" t="s">
        <v>0</v>
      </c>
      <c r="F103" s="15">
        <v>113200</v>
      </c>
      <c r="G103" s="136" t="s">
        <v>27</v>
      </c>
    </row>
    <row r="104" spans="2:7" s="7" customFormat="1" ht="12.75" hidden="1">
      <c r="B104" s="134"/>
      <c r="C104" s="4"/>
      <c r="D104" s="4">
        <v>3240</v>
      </c>
      <c r="E104" s="8" t="s">
        <v>207</v>
      </c>
      <c r="F104" s="15"/>
      <c r="G104" s="136"/>
    </row>
    <row r="105" spans="2:7" s="7" customFormat="1" ht="12.75">
      <c r="B105" s="134"/>
      <c r="C105" s="4"/>
      <c r="D105" s="4">
        <v>4010</v>
      </c>
      <c r="E105" s="8" t="s">
        <v>433</v>
      </c>
      <c r="F105" s="15">
        <v>1817850</v>
      </c>
      <c r="G105" s="136" t="s">
        <v>84</v>
      </c>
    </row>
    <row r="106" spans="2:7" s="7" customFormat="1" ht="12.75">
      <c r="B106" s="134"/>
      <c r="C106" s="4"/>
      <c r="D106" s="4">
        <v>4040</v>
      </c>
      <c r="E106" s="8" t="s">
        <v>434</v>
      </c>
      <c r="F106" s="15">
        <v>141150</v>
      </c>
      <c r="G106" s="136"/>
    </row>
    <row r="107" spans="2:7" s="7" customFormat="1" ht="12.75">
      <c r="B107" s="134"/>
      <c r="C107" s="4"/>
      <c r="D107" s="4">
        <v>4110</v>
      </c>
      <c r="E107" s="8" t="s">
        <v>2</v>
      </c>
      <c r="F107" s="15">
        <v>353250</v>
      </c>
      <c r="G107" s="136"/>
    </row>
    <row r="108" spans="2:7" s="7" customFormat="1" ht="12.75">
      <c r="B108" s="134"/>
      <c r="C108" s="4"/>
      <c r="D108" s="4">
        <v>4120</v>
      </c>
      <c r="E108" s="8" t="s">
        <v>438</v>
      </c>
      <c r="F108" s="15">
        <v>48200</v>
      </c>
      <c r="G108" s="136"/>
    </row>
    <row r="109" spans="2:7" s="7" customFormat="1" ht="38.25">
      <c r="B109" s="134"/>
      <c r="C109" s="4"/>
      <c r="D109" s="4">
        <v>4210</v>
      </c>
      <c r="E109" s="8" t="s">
        <v>3</v>
      </c>
      <c r="F109" s="15">
        <v>150000</v>
      </c>
      <c r="G109" s="136" t="s">
        <v>85</v>
      </c>
    </row>
    <row r="110" spans="2:7" s="7" customFormat="1" ht="38.25">
      <c r="B110" s="134"/>
      <c r="C110" s="4"/>
      <c r="D110" s="4">
        <v>4240</v>
      </c>
      <c r="E110" s="8" t="s">
        <v>12</v>
      </c>
      <c r="F110" s="15">
        <v>16500</v>
      </c>
      <c r="G110" s="136" t="s">
        <v>355</v>
      </c>
    </row>
    <row r="111" spans="2:7" s="7" customFormat="1" ht="12.75">
      <c r="B111" s="134"/>
      <c r="C111" s="4"/>
      <c r="D111" s="4">
        <v>4260</v>
      </c>
      <c r="E111" s="8" t="s">
        <v>501</v>
      </c>
      <c r="F111" s="15">
        <f>110000-3321</f>
        <v>106679</v>
      </c>
      <c r="G111" s="136" t="s">
        <v>86</v>
      </c>
    </row>
    <row r="112" spans="2:7" s="7" customFormat="1" ht="12.75">
      <c r="B112" s="134"/>
      <c r="C112" s="4"/>
      <c r="D112" s="4">
        <v>4270</v>
      </c>
      <c r="E112" s="8" t="s">
        <v>499</v>
      </c>
      <c r="F112" s="15">
        <v>10000</v>
      </c>
      <c r="G112" s="136" t="s">
        <v>87</v>
      </c>
    </row>
    <row r="113" spans="2:7" s="7" customFormat="1" ht="27" customHeight="1">
      <c r="B113" s="134"/>
      <c r="C113" s="4"/>
      <c r="D113" s="4">
        <v>4300</v>
      </c>
      <c r="E113" s="8" t="s">
        <v>500</v>
      </c>
      <c r="F113" s="15">
        <v>65000</v>
      </c>
      <c r="G113" s="136" t="s">
        <v>356</v>
      </c>
    </row>
    <row r="114" spans="2:7" s="7" customFormat="1" ht="12.75">
      <c r="B114" s="134"/>
      <c r="C114" s="4"/>
      <c r="D114" s="4">
        <v>4410</v>
      </c>
      <c r="E114" s="8" t="s">
        <v>436</v>
      </c>
      <c r="F114" s="15">
        <v>13100</v>
      </c>
      <c r="G114" s="136" t="s">
        <v>26</v>
      </c>
    </row>
    <row r="115" spans="2:7" s="7" customFormat="1" ht="25.5">
      <c r="B115" s="134"/>
      <c r="C115" s="4"/>
      <c r="D115" s="4">
        <v>4440</v>
      </c>
      <c r="E115" s="8" t="s">
        <v>439</v>
      </c>
      <c r="F115" s="15">
        <v>94610</v>
      </c>
      <c r="G115" s="136" t="s">
        <v>357</v>
      </c>
    </row>
    <row r="116" spans="2:7" s="7" customFormat="1" ht="25.5" hidden="1">
      <c r="B116" s="134"/>
      <c r="C116" s="4"/>
      <c r="D116" s="4">
        <v>6050</v>
      </c>
      <c r="E116" s="8" t="s">
        <v>1</v>
      </c>
      <c r="F116" s="15"/>
      <c r="G116" s="211" t="s">
        <v>130</v>
      </c>
    </row>
    <row r="117" spans="2:7" s="7" customFormat="1" ht="25.5" hidden="1">
      <c r="B117" s="134"/>
      <c r="C117" s="4"/>
      <c r="D117" s="4">
        <v>6060</v>
      </c>
      <c r="E117" s="8" t="s">
        <v>4</v>
      </c>
      <c r="F117" s="15"/>
      <c r="G117" s="244" t="s">
        <v>131</v>
      </c>
    </row>
    <row r="118" spans="2:7" s="7" customFormat="1" ht="12.75">
      <c r="B118" s="134"/>
      <c r="C118" s="3">
        <v>80104</v>
      </c>
      <c r="D118" s="3"/>
      <c r="E118" s="29" t="s">
        <v>174</v>
      </c>
      <c r="F118" s="26">
        <f>SUM(F119:F131)</f>
        <v>1089690</v>
      </c>
      <c r="G118" s="136"/>
    </row>
    <row r="119" spans="2:7" s="7" customFormat="1" ht="25.5">
      <c r="B119" s="137"/>
      <c r="C119" s="4"/>
      <c r="D119" s="4">
        <v>2540</v>
      </c>
      <c r="E119" s="8" t="s">
        <v>466</v>
      </c>
      <c r="F119" s="15">
        <v>184000</v>
      </c>
      <c r="G119" s="136" t="s">
        <v>199</v>
      </c>
    </row>
    <row r="120" spans="2:7" s="7" customFormat="1" ht="25.5">
      <c r="B120" s="134"/>
      <c r="C120" s="4"/>
      <c r="D120" s="4">
        <v>3020</v>
      </c>
      <c r="E120" s="8" t="s">
        <v>0</v>
      </c>
      <c r="F120" s="15">
        <v>26200</v>
      </c>
      <c r="G120" s="136" t="s">
        <v>27</v>
      </c>
    </row>
    <row r="121" spans="2:7" s="7" customFormat="1" ht="12.75">
      <c r="B121" s="134"/>
      <c r="C121" s="4"/>
      <c r="D121" s="4">
        <v>4010</v>
      </c>
      <c r="E121" s="8" t="s">
        <v>433</v>
      </c>
      <c r="F121" s="15">
        <v>561750</v>
      </c>
      <c r="G121" s="136" t="s">
        <v>132</v>
      </c>
    </row>
    <row r="122" spans="2:7" s="7" customFormat="1" ht="12.75">
      <c r="B122" s="134"/>
      <c r="C122" s="4"/>
      <c r="D122" s="4">
        <v>4040</v>
      </c>
      <c r="E122" s="8" t="s">
        <v>434</v>
      </c>
      <c r="F122" s="15">
        <v>44650</v>
      </c>
      <c r="G122" s="136"/>
    </row>
    <row r="123" spans="2:7" s="7" customFormat="1" ht="12.75">
      <c r="B123" s="134"/>
      <c r="C123" s="4"/>
      <c r="D123" s="4">
        <v>4110</v>
      </c>
      <c r="E123" s="8" t="s">
        <v>2</v>
      </c>
      <c r="F123" s="15">
        <v>110200</v>
      </c>
      <c r="G123" s="136"/>
    </row>
    <row r="124" spans="2:7" s="7" customFormat="1" ht="12.75">
      <c r="B124" s="134"/>
      <c r="C124" s="4"/>
      <c r="D124" s="4">
        <v>4120</v>
      </c>
      <c r="E124" s="8" t="s">
        <v>438</v>
      </c>
      <c r="F124" s="15">
        <v>15150</v>
      </c>
      <c r="G124" s="136"/>
    </row>
    <row r="125" spans="2:7" s="7" customFormat="1" ht="12.75">
      <c r="B125" s="134"/>
      <c r="C125" s="4"/>
      <c r="D125" s="4">
        <v>4210</v>
      </c>
      <c r="E125" s="8" t="s">
        <v>3</v>
      </c>
      <c r="F125" s="15">
        <v>30000</v>
      </c>
      <c r="G125" s="136" t="s">
        <v>133</v>
      </c>
    </row>
    <row r="126" spans="2:7" s="7" customFormat="1" ht="12.75">
      <c r="B126" s="134"/>
      <c r="C126" s="4"/>
      <c r="D126" s="4">
        <v>4240</v>
      </c>
      <c r="E126" s="8" t="s">
        <v>12</v>
      </c>
      <c r="F126" s="15">
        <v>10000</v>
      </c>
      <c r="G126" s="136" t="s">
        <v>36</v>
      </c>
    </row>
    <row r="127" spans="2:7" s="7" customFormat="1" ht="12.75">
      <c r="B127" s="134"/>
      <c r="C127" s="4"/>
      <c r="D127" s="4">
        <v>4260</v>
      </c>
      <c r="E127" s="8" t="s">
        <v>501</v>
      </c>
      <c r="F127" s="15">
        <v>47500</v>
      </c>
      <c r="G127" s="136" t="s">
        <v>305</v>
      </c>
    </row>
    <row r="128" spans="2:7" s="7" customFormat="1" ht="12.75" customHeight="1">
      <c r="B128" s="134"/>
      <c r="C128" s="4"/>
      <c r="D128" s="4">
        <v>4270</v>
      </c>
      <c r="E128" s="8" t="s">
        <v>499</v>
      </c>
      <c r="F128" s="15">
        <f>25000-10000</f>
        <v>15000</v>
      </c>
      <c r="G128" s="136" t="s">
        <v>134</v>
      </c>
    </row>
    <row r="129" spans="2:7" s="7" customFormat="1" ht="25.5">
      <c r="B129" s="134"/>
      <c r="C129" s="4"/>
      <c r="D129" s="4">
        <v>4300</v>
      </c>
      <c r="E129" s="8" t="s">
        <v>500</v>
      </c>
      <c r="F129" s="15">
        <v>11500</v>
      </c>
      <c r="G129" s="136" t="s">
        <v>135</v>
      </c>
    </row>
    <row r="130" spans="2:7" s="7" customFormat="1" ht="12.75">
      <c r="B130" s="134"/>
      <c r="C130" s="4"/>
      <c r="D130" s="4">
        <v>4410</v>
      </c>
      <c r="E130" s="8" t="s">
        <v>436</v>
      </c>
      <c r="F130" s="15">
        <v>4500</v>
      </c>
      <c r="G130" s="136" t="s">
        <v>28</v>
      </c>
    </row>
    <row r="131" spans="2:7" s="7" customFormat="1" ht="25.5">
      <c r="B131" s="134"/>
      <c r="C131" s="4"/>
      <c r="D131" s="4">
        <v>4440</v>
      </c>
      <c r="E131" s="8" t="s">
        <v>439</v>
      </c>
      <c r="F131" s="15">
        <v>29240</v>
      </c>
      <c r="G131" s="136" t="s">
        <v>357</v>
      </c>
    </row>
    <row r="132" spans="2:7" s="7" customFormat="1" ht="12.75">
      <c r="B132" s="134"/>
      <c r="C132" s="3">
        <v>80110</v>
      </c>
      <c r="D132" s="3"/>
      <c r="E132" s="29" t="s">
        <v>441</v>
      </c>
      <c r="F132" s="26">
        <f>SUM(F133:F144)</f>
        <v>8773856</v>
      </c>
      <c r="G132" s="136"/>
    </row>
    <row r="133" spans="2:7" s="7" customFormat="1" ht="25.5">
      <c r="B133" s="134"/>
      <c r="C133" s="3"/>
      <c r="D133" s="4">
        <v>3020</v>
      </c>
      <c r="E133" s="8" t="s">
        <v>0</v>
      </c>
      <c r="F133" s="15">
        <v>68500</v>
      </c>
      <c r="G133" s="136" t="s">
        <v>27</v>
      </c>
    </row>
    <row r="134" spans="2:7" s="7" customFormat="1" ht="12.75">
      <c r="B134" s="134"/>
      <c r="C134" s="3"/>
      <c r="D134" s="4">
        <v>4010</v>
      </c>
      <c r="E134" s="8" t="s">
        <v>433</v>
      </c>
      <c r="F134" s="15">
        <v>856700</v>
      </c>
      <c r="G134" s="136" t="s">
        <v>136</v>
      </c>
    </row>
    <row r="135" spans="2:7" s="7" customFormat="1" ht="12.75">
      <c r="B135" s="134"/>
      <c r="C135" s="3"/>
      <c r="D135" s="4">
        <v>4040</v>
      </c>
      <c r="E135" s="8" t="s">
        <v>434</v>
      </c>
      <c r="F135" s="15">
        <v>70550</v>
      </c>
      <c r="G135" s="136"/>
    </row>
    <row r="136" spans="2:7" s="7" customFormat="1" ht="12.75">
      <c r="B136" s="134"/>
      <c r="C136" s="3"/>
      <c r="D136" s="4">
        <v>4110</v>
      </c>
      <c r="E136" s="8" t="s">
        <v>2</v>
      </c>
      <c r="F136" s="15">
        <v>178650</v>
      </c>
      <c r="G136" s="136"/>
    </row>
    <row r="137" spans="2:7" s="7" customFormat="1" ht="12.75">
      <c r="B137" s="134"/>
      <c r="C137" s="3"/>
      <c r="D137" s="4">
        <v>4120</v>
      </c>
      <c r="E137" s="8" t="s">
        <v>438</v>
      </c>
      <c r="F137" s="15">
        <v>24400</v>
      </c>
      <c r="G137" s="136"/>
    </row>
    <row r="138" spans="2:7" s="7" customFormat="1" ht="12.75">
      <c r="B138" s="134"/>
      <c r="C138" s="3"/>
      <c r="D138" s="4">
        <v>4210</v>
      </c>
      <c r="E138" s="8" t="s">
        <v>3</v>
      </c>
      <c r="F138" s="15">
        <v>12000</v>
      </c>
      <c r="G138" s="136" t="s">
        <v>88</v>
      </c>
    </row>
    <row r="139" spans="2:7" s="7" customFormat="1" ht="12.75">
      <c r="B139" s="134"/>
      <c r="C139" s="3"/>
      <c r="D139" s="4">
        <v>4240</v>
      </c>
      <c r="E139" s="8" t="s">
        <v>12</v>
      </c>
      <c r="F139" s="15">
        <v>10000</v>
      </c>
      <c r="G139" s="136" t="s">
        <v>29</v>
      </c>
    </row>
    <row r="140" spans="2:7" s="7" customFormat="1" ht="12.75">
      <c r="B140" s="134"/>
      <c r="C140" s="3"/>
      <c r="D140" s="4">
        <v>4300</v>
      </c>
      <c r="E140" s="8" t="s">
        <v>500</v>
      </c>
      <c r="F140" s="15">
        <v>15000</v>
      </c>
      <c r="G140" s="136" t="s">
        <v>30</v>
      </c>
    </row>
    <row r="141" spans="2:7" s="7" customFormat="1" ht="12.75">
      <c r="B141" s="134"/>
      <c r="C141" s="3"/>
      <c r="D141" s="4">
        <v>4410</v>
      </c>
      <c r="E141" s="8" t="s">
        <v>436</v>
      </c>
      <c r="F141" s="15">
        <v>6500</v>
      </c>
      <c r="G141" s="136" t="s">
        <v>28</v>
      </c>
    </row>
    <row r="142" spans="2:7" s="7" customFormat="1" ht="25.5">
      <c r="B142" s="134"/>
      <c r="C142" s="3"/>
      <c r="D142" s="4">
        <v>4440</v>
      </c>
      <c r="E142" s="8" t="s">
        <v>439</v>
      </c>
      <c r="F142" s="15">
        <v>51400</v>
      </c>
      <c r="G142" s="136" t="s">
        <v>357</v>
      </c>
    </row>
    <row r="143" spans="2:7" s="7" customFormat="1" ht="12.75">
      <c r="B143" s="134"/>
      <c r="C143" s="3"/>
      <c r="D143" s="4">
        <v>6058</v>
      </c>
      <c r="E143" s="8" t="s">
        <v>1</v>
      </c>
      <c r="F143" s="15">
        <v>1470337</v>
      </c>
      <c r="G143" s="136" t="s">
        <v>166</v>
      </c>
    </row>
    <row r="144" spans="2:7" s="7" customFormat="1" ht="25.5">
      <c r="B144" s="134"/>
      <c r="C144" s="3"/>
      <c r="D144" s="4">
        <v>6059</v>
      </c>
      <c r="E144" s="8" t="s">
        <v>1</v>
      </c>
      <c r="F144" s="15">
        <f>5302781+707038</f>
        <v>6009819</v>
      </c>
      <c r="G144" s="136" t="s">
        <v>167</v>
      </c>
    </row>
    <row r="145" spans="2:7" s="7" customFormat="1" ht="12.75">
      <c r="B145" s="134"/>
      <c r="C145" s="3">
        <v>80113</v>
      </c>
      <c r="D145" s="3"/>
      <c r="E145" s="29" t="s">
        <v>468</v>
      </c>
      <c r="F145" s="26">
        <f>SUM(F146:F149)</f>
        <v>286950</v>
      </c>
      <c r="G145" s="136"/>
    </row>
    <row r="146" spans="2:7" s="7" customFormat="1" ht="12.75">
      <c r="B146" s="134"/>
      <c r="C146" s="3"/>
      <c r="D146" s="4">
        <v>4010</v>
      </c>
      <c r="E146" s="8" t="s">
        <v>433</v>
      </c>
      <c r="F146" s="15">
        <v>30600</v>
      </c>
      <c r="G146" s="310" t="s">
        <v>31</v>
      </c>
    </row>
    <row r="147" spans="2:7" s="7" customFormat="1" ht="12.75">
      <c r="B147" s="134"/>
      <c r="C147" s="3"/>
      <c r="D147" s="4">
        <v>4110</v>
      </c>
      <c r="E147" s="8" t="s">
        <v>2</v>
      </c>
      <c r="F147" s="15">
        <v>5550</v>
      </c>
      <c r="G147" s="311"/>
    </row>
    <row r="148" spans="2:7" s="7" customFormat="1" ht="12.75">
      <c r="B148" s="134"/>
      <c r="C148" s="3"/>
      <c r="D148" s="4">
        <v>4120</v>
      </c>
      <c r="E148" s="8" t="s">
        <v>438</v>
      </c>
      <c r="F148" s="15">
        <v>800</v>
      </c>
      <c r="G148" s="312"/>
    </row>
    <row r="149" spans="2:7" s="7" customFormat="1" ht="12.75">
      <c r="B149" s="134"/>
      <c r="C149" s="4"/>
      <c r="D149" s="4">
        <v>4300</v>
      </c>
      <c r="E149" s="8" t="s">
        <v>500</v>
      </c>
      <c r="F149" s="15">
        <v>250000</v>
      </c>
      <c r="G149" s="136" t="s">
        <v>32</v>
      </c>
    </row>
    <row r="150" spans="2:7" s="7" customFormat="1" ht="12.75">
      <c r="B150" s="134"/>
      <c r="C150" s="3">
        <v>80114</v>
      </c>
      <c r="D150" s="3"/>
      <c r="E150" s="29" t="s">
        <v>469</v>
      </c>
      <c r="F150" s="26">
        <f>SUM(F151:F160)</f>
        <v>158000</v>
      </c>
      <c r="G150" s="136"/>
    </row>
    <row r="151" spans="2:7" s="7" customFormat="1" ht="25.5">
      <c r="B151" s="134"/>
      <c r="C151" s="4"/>
      <c r="D151" s="4">
        <v>3020</v>
      </c>
      <c r="E151" s="8" t="s">
        <v>0</v>
      </c>
      <c r="F151" s="15">
        <v>450</v>
      </c>
      <c r="G151" s="136" t="s">
        <v>33</v>
      </c>
    </row>
    <row r="152" spans="2:7" s="7" customFormat="1" ht="12.75">
      <c r="B152" s="134"/>
      <c r="C152" s="4"/>
      <c r="D152" s="4">
        <v>4010</v>
      </c>
      <c r="E152" s="8" t="s">
        <v>433</v>
      </c>
      <c r="F152" s="15">
        <v>103000</v>
      </c>
      <c r="G152" s="136"/>
    </row>
    <row r="153" spans="2:7" s="7" customFormat="1" ht="12.75">
      <c r="B153" s="134"/>
      <c r="C153" s="4"/>
      <c r="D153" s="4">
        <v>4040</v>
      </c>
      <c r="E153" s="8" t="s">
        <v>434</v>
      </c>
      <c r="F153" s="15">
        <v>8000</v>
      </c>
      <c r="G153" s="136"/>
    </row>
    <row r="154" spans="2:7" s="7" customFormat="1" ht="12.75">
      <c r="B154" s="134"/>
      <c r="C154" s="4"/>
      <c r="D154" s="4">
        <v>4110</v>
      </c>
      <c r="E154" s="8" t="s">
        <v>2</v>
      </c>
      <c r="F154" s="15">
        <v>20000</v>
      </c>
      <c r="G154" s="136"/>
    </row>
    <row r="155" spans="2:7" s="7" customFormat="1" ht="12.75">
      <c r="B155" s="134"/>
      <c r="C155" s="4"/>
      <c r="D155" s="4">
        <v>4120</v>
      </c>
      <c r="E155" s="8" t="s">
        <v>438</v>
      </c>
      <c r="F155" s="15">
        <v>2800</v>
      </c>
      <c r="G155" s="136"/>
    </row>
    <row r="156" spans="2:7" s="7" customFormat="1" ht="25.5">
      <c r="B156" s="134"/>
      <c r="C156" s="4"/>
      <c r="D156" s="4">
        <v>4210</v>
      </c>
      <c r="E156" s="8" t="s">
        <v>3</v>
      </c>
      <c r="F156" s="15">
        <f>8000-1000</f>
        <v>7000</v>
      </c>
      <c r="G156" s="136" t="s">
        <v>54</v>
      </c>
    </row>
    <row r="157" spans="2:7" s="7" customFormat="1" ht="12.75">
      <c r="B157" s="134"/>
      <c r="C157" s="4"/>
      <c r="D157" s="4">
        <v>4270</v>
      </c>
      <c r="E157" s="8" t="s">
        <v>499</v>
      </c>
      <c r="F157" s="15">
        <v>3000</v>
      </c>
      <c r="G157" s="136" t="s">
        <v>34</v>
      </c>
    </row>
    <row r="158" spans="2:7" s="7" customFormat="1" ht="25.5">
      <c r="B158" s="134"/>
      <c r="C158" s="4"/>
      <c r="D158" s="4">
        <v>4300</v>
      </c>
      <c r="E158" s="8" t="s">
        <v>500</v>
      </c>
      <c r="F158" s="15">
        <v>10000</v>
      </c>
      <c r="G158" s="136" t="s">
        <v>137</v>
      </c>
    </row>
    <row r="159" spans="2:7" s="7" customFormat="1" ht="12.75">
      <c r="B159" s="134"/>
      <c r="C159" s="4"/>
      <c r="D159" s="4">
        <v>4410</v>
      </c>
      <c r="E159" s="8" t="s">
        <v>436</v>
      </c>
      <c r="F159" s="15">
        <v>900</v>
      </c>
      <c r="G159" s="136" t="s">
        <v>35</v>
      </c>
    </row>
    <row r="160" spans="2:7" s="7" customFormat="1" ht="25.5">
      <c r="B160" s="134"/>
      <c r="C160" s="4"/>
      <c r="D160" s="4">
        <v>4440</v>
      </c>
      <c r="E160" s="8" t="s">
        <v>439</v>
      </c>
      <c r="F160" s="15">
        <v>2850</v>
      </c>
      <c r="G160" s="136" t="s">
        <v>357</v>
      </c>
    </row>
    <row r="161" spans="2:7" s="7" customFormat="1" ht="25.5" customHeight="1">
      <c r="B161" s="134"/>
      <c r="C161" s="3">
        <v>80146</v>
      </c>
      <c r="D161" s="3"/>
      <c r="E161" s="29" t="s">
        <v>287</v>
      </c>
      <c r="F161" s="26">
        <f>F162</f>
        <v>24700</v>
      </c>
      <c r="G161" s="310" t="s">
        <v>409</v>
      </c>
    </row>
    <row r="162" spans="2:7" s="7" customFormat="1" ht="29.25" customHeight="1">
      <c r="B162" s="134"/>
      <c r="C162" s="4"/>
      <c r="D162" s="4">
        <v>4300</v>
      </c>
      <c r="E162" s="8" t="s">
        <v>500</v>
      </c>
      <c r="F162" s="15">
        <v>24700</v>
      </c>
      <c r="G162" s="312"/>
    </row>
    <row r="163" spans="2:7" s="7" customFormat="1" ht="12.75">
      <c r="B163" s="134"/>
      <c r="C163" s="3">
        <v>80195</v>
      </c>
      <c r="D163" s="3"/>
      <c r="E163" s="29" t="s">
        <v>406</v>
      </c>
      <c r="F163" s="26">
        <f>SUM(F164)</f>
        <v>28728</v>
      </c>
      <c r="G163" s="136"/>
    </row>
    <row r="164" spans="2:7" s="7" customFormat="1" ht="25.5">
      <c r="B164" s="134"/>
      <c r="C164" s="4"/>
      <c r="D164" s="4">
        <v>4440</v>
      </c>
      <c r="E164" s="8" t="s">
        <v>439</v>
      </c>
      <c r="F164" s="15">
        <v>28728</v>
      </c>
      <c r="G164" s="136" t="s">
        <v>138</v>
      </c>
    </row>
    <row r="165" spans="2:7" s="7" customFormat="1" ht="12.75">
      <c r="B165" s="139">
        <v>851</v>
      </c>
      <c r="C165" s="123"/>
      <c r="D165" s="123"/>
      <c r="E165" s="23" t="s">
        <v>442</v>
      </c>
      <c r="F165" s="120">
        <f>F166</f>
        <v>70000</v>
      </c>
      <c r="G165" s="140"/>
    </row>
    <row r="166" spans="2:7" s="7" customFormat="1" ht="12.75">
      <c r="B166" s="134"/>
      <c r="C166" s="3">
        <v>85154</v>
      </c>
      <c r="D166" s="3"/>
      <c r="E166" s="29" t="s">
        <v>443</v>
      </c>
      <c r="F166" s="26">
        <f>SUM(F167:F171)</f>
        <v>70000</v>
      </c>
      <c r="G166" s="223"/>
    </row>
    <row r="167" spans="2:7" s="7" customFormat="1" ht="12.75">
      <c r="B167" s="134"/>
      <c r="C167" s="4"/>
      <c r="D167" s="4">
        <v>4210</v>
      </c>
      <c r="E167" s="8" t="s">
        <v>3</v>
      </c>
      <c r="F167" s="15">
        <v>21000</v>
      </c>
      <c r="G167" s="310" t="s">
        <v>295</v>
      </c>
    </row>
    <row r="168" spans="2:7" s="7" customFormat="1" ht="12.75">
      <c r="B168" s="134"/>
      <c r="C168" s="4"/>
      <c r="D168" s="4">
        <v>4260</v>
      </c>
      <c r="E168" s="8" t="s">
        <v>501</v>
      </c>
      <c r="F168" s="15">
        <v>5000</v>
      </c>
      <c r="G168" s="311"/>
    </row>
    <row r="169" spans="2:7" s="7" customFormat="1" ht="12.75">
      <c r="B169" s="134"/>
      <c r="C169" s="4"/>
      <c r="D169" s="4">
        <v>4270</v>
      </c>
      <c r="E169" s="8" t="s">
        <v>499</v>
      </c>
      <c r="F169" s="15">
        <v>1000</v>
      </c>
      <c r="G169" s="311"/>
    </row>
    <row r="170" spans="2:7" s="7" customFormat="1" ht="12.75">
      <c r="B170" s="134"/>
      <c r="C170" s="4"/>
      <c r="D170" s="4">
        <v>4300</v>
      </c>
      <c r="E170" s="8" t="s">
        <v>500</v>
      </c>
      <c r="F170" s="15">
        <v>42000</v>
      </c>
      <c r="G170" s="311"/>
    </row>
    <row r="171" spans="2:7" s="7" customFormat="1" ht="12.75">
      <c r="B171" s="134"/>
      <c r="C171" s="4"/>
      <c r="D171" s="4">
        <v>4410</v>
      </c>
      <c r="E171" s="8" t="s">
        <v>436</v>
      </c>
      <c r="F171" s="15">
        <v>1000</v>
      </c>
      <c r="G171" s="312"/>
    </row>
    <row r="172" spans="2:7" s="7" customFormat="1" ht="12.75">
      <c r="B172" s="139">
        <v>852</v>
      </c>
      <c r="C172" s="123"/>
      <c r="D172" s="123"/>
      <c r="E172" s="23" t="s">
        <v>423</v>
      </c>
      <c r="F172" s="120">
        <f>F179+F181+F184+F186+F188+F202+F206+F173</f>
        <v>2027120</v>
      </c>
      <c r="G172" s="140"/>
    </row>
    <row r="173" spans="2:7" s="18" customFormat="1" ht="38.25">
      <c r="B173" s="142"/>
      <c r="C173" s="228">
        <v>85212</v>
      </c>
      <c r="D173" s="17"/>
      <c r="E173" s="29" t="s">
        <v>153</v>
      </c>
      <c r="F173" s="24">
        <f>SUM(F174:F178)</f>
        <v>1057000</v>
      </c>
      <c r="G173" s="138"/>
    </row>
    <row r="174" spans="2:7" s="18" customFormat="1" ht="12.75">
      <c r="B174" s="142"/>
      <c r="C174" s="17"/>
      <c r="D174" s="4">
        <v>3110</v>
      </c>
      <c r="E174" s="8" t="s">
        <v>7</v>
      </c>
      <c r="F174" s="31">
        <v>1035860</v>
      </c>
      <c r="G174" s="138"/>
    </row>
    <row r="175" spans="2:7" s="18" customFormat="1" ht="12.75">
      <c r="B175" s="142"/>
      <c r="C175" s="17"/>
      <c r="D175" s="4">
        <v>4010</v>
      </c>
      <c r="E175" s="8" t="s">
        <v>433</v>
      </c>
      <c r="F175" s="31">
        <v>13163</v>
      </c>
      <c r="G175" s="138"/>
    </row>
    <row r="176" spans="2:7" s="18" customFormat="1" ht="12.75">
      <c r="B176" s="142"/>
      <c r="C176" s="17"/>
      <c r="D176" s="4">
        <v>4110</v>
      </c>
      <c r="E176" s="8" t="s">
        <v>2</v>
      </c>
      <c r="F176" s="31">
        <v>2269</v>
      </c>
      <c r="G176" s="138"/>
    </row>
    <row r="177" spans="2:7" s="18" customFormat="1" ht="12.75">
      <c r="B177" s="142"/>
      <c r="C177" s="17"/>
      <c r="D177" s="4">
        <v>4210</v>
      </c>
      <c r="E177" s="8" t="s">
        <v>3</v>
      </c>
      <c r="F177" s="31">
        <v>300</v>
      </c>
      <c r="G177" s="138"/>
    </row>
    <row r="178" spans="2:7" s="18" customFormat="1" ht="12.75">
      <c r="B178" s="142"/>
      <c r="C178" s="17"/>
      <c r="D178" s="4">
        <v>4300</v>
      </c>
      <c r="E178" s="8" t="s">
        <v>500</v>
      </c>
      <c r="F178" s="31">
        <v>5408</v>
      </c>
      <c r="G178" s="138"/>
    </row>
    <row r="179" spans="2:7" s="18" customFormat="1" ht="51">
      <c r="B179" s="142"/>
      <c r="C179" s="3">
        <v>85213</v>
      </c>
      <c r="D179" s="3"/>
      <c r="E179" s="29" t="s">
        <v>328</v>
      </c>
      <c r="F179" s="26">
        <f>F180</f>
        <v>12900</v>
      </c>
      <c r="G179" s="138"/>
    </row>
    <row r="180" spans="2:7" s="18" customFormat="1" ht="12.75">
      <c r="B180" s="142"/>
      <c r="C180" s="17"/>
      <c r="D180" s="4">
        <v>4130</v>
      </c>
      <c r="E180" s="8" t="s">
        <v>159</v>
      </c>
      <c r="F180" s="31">
        <v>12900</v>
      </c>
      <c r="G180" s="138" t="s">
        <v>225</v>
      </c>
    </row>
    <row r="181" spans="2:7" s="7" customFormat="1" ht="25.5">
      <c r="B181" s="134"/>
      <c r="C181" s="3">
        <v>85214</v>
      </c>
      <c r="D181" s="3"/>
      <c r="E181" s="29" t="s">
        <v>470</v>
      </c>
      <c r="F181" s="26">
        <f>F182+F183</f>
        <v>268400</v>
      </c>
      <c r="G181" s="136"/>
    </row>
    <row r="182" spans="2:7" s="7" customFormat="1" ht="12.75">
      <c r="B182" s="134"/>
      <c r="C182" s="4"/>
      <c r="D182" s="4">
        <v>3110</v>
      </c>
      <c r="E182" s="8" t="s">
        <v>7</v>
      </c>
      <c r="F182" s="15">
        <f>60100+205000</f>
        <v>265100</v>
      </c>
      <c r="G182" s="136" t="s">
        <v>358</v>
      </c>
    </row>
    <row r="183" spans="2:7" s="7" customFormat="1" ht="12.75">
      <c r="B183" s="134"/>
      <c r="C183" s="4"/>
      <c r="D183" s="4">
        <v>4110</v>
      </c>
      <c r="E183" s="8" t="s">
        <v>158</v>
      </c>
      <c r="F183" s="15">
        <v>3300</v>
      </c>
      <c r="G183" s="136" t="s">
        <v>209</v>
      </c>
    </row>
    <row r="184" spans="2:7" s="7" customFormat="1" ht="12.75">
      <c r="B184" s="134"/>
      <c r="C184" s="3">
        <v>85215</v>
      </c>
      <c r="D184" s="3"/>
      <c r="E184" s="29" t="s">
        <v>422</v>
      </c>
      <c r="F184" s="26">
        <f>SUM(F185)</f>
        <v>260000</v>
      </c>
      <c r="G184" s="136"/>
    </row>
    <row r="185" spans="2:7" s="7" customFormat="1" ht="38.25">
      <c r="B185" s="134"/>
      <c r="C185" s="4"/>
      <c r="D185" s="4">
        <v>3110</v>
      </c>
      <c r="E185" s="8" t="s">
        <v>7</v>
      </c>
      <c r="F185" s="15">
        <v>260000</v>
      </c>
      <c r="G185" s="136" t="s">
        <v>37</v>
      </c>
    </row>
    <row r="186" spans="2:7" s="7" customFormat="1" ht="12.75" hidden="1">
      <c r="B186" s="134"/>
      <c r="C186" s="3">
        <v>85216</v>
      </c>
      <c r="D186" s="3"/>
      <c r="E186" s="29" t="s">
        <v>471</v>
      </c>
      <c r="F186" s="26">
        <f>SUM(F187)</f>
        <v>0</v>
      </c>
      <c r="G186" s="136"/>
    </row>
    <row r="187" spans="2:7" s="7" customFormat="1" ht="12.75" hidden="1">
      <c r="B187" s="134"/>
      <c r="C187" s="4"/>
      <c r="D187" s="4">
        <v>3110</v>
      </c>
      <c r="E187" s="8" t="s">
        <v>7</v>
      </c>
      <c r="F187" s="15"/>
      <c r="G187" s="136"/>
    </row>
    <row r="188" spans="2:7" s="7" customFormat="1" ht="12.75">
      <c r="B188" s="134"/>
      <c r="C188" s="3">
        <v>85219</v>
      </c>
      <c r="D188" s="3"/>
      <c r="E188" s="29" t="s">
        <v>472</v>
      </c>
      <c r="F188" s="26">
        <f>SUM(F189:F201)</f>
        <v>372100</v>
      </c>
      <c r="G188" s="136" t="s">
        <v>359</v>
      </c>
    </row>
    <row r="189" spans="2:7" s="7" customFormat="1" ht="25.5">
      <c r="B189" s="134"/>
      <c r="C189" s="4"/>
      <c r="D189" s="4">
        <v>3020</v>
      </c>
      <c r="E189" s="8" t="s">
        <v>0</v>
      </c>
      <c r="F189" s="15">
        <v>5000</v>
      </c>
      <c r="G189" s="136" t="s">
        <v>140</v>
      </c>
    </row>
    <row r="190" spans="2:7" s="7" customFormat="1" ht="12.75">
      <c r="B190" s="134"/>
      <c r="C190" s="4"/>
      <c r="D190" s="4">
        <v>4010</v>
      </c>
      <c r="E190" s="8" t="s">
        <v>433</v>
      </c>
      <c r="F190" s="15">
        <v>227900</v>
      </c>
      <c r="G190" s="136"/>
    </row>
    <row r="191" spans="2:7" s="7" customFormat="1" ht="12.75">
      <c r="B191" s="134"/>
      <c r="C191" s="4"/>
      <c r="D191" s="4">
        <v>4040</v>
      </c>
      <c r="E191" s="8" t="s">
        <v>434</v>
      </c>
      <c r="F191" s="15">
        <v>16000</v>
      </c>
      <c r="G191" s="136"/>
    </row>
    <row r="192" spans="2:7" s="7" customFormat="1" ht="12.75">
      <c r="B192" s="134"/>
      <c r="C192" s="4"/>
      <c r="D192" s="4">
        <v>4110</v>
      </c>
      <c r="E192" s="8" t="s">
        <v>2</v>
      </c>
      <c r="F192" s="15">
        <v>44400</v>
      </c>
      <c r="G192" s="136"/>
    </row>
    <row r="193" spans="2:7" s="7" customFormat="1" ht="12.75">
      <c r="B193" s="134"/>
      <c r="C193" s="4"/>
      <c r="D193" s="4">
        <v>4120</v>
      </c>
      <c r="E193" s="8" t="s">
        <v>8</v>
      </c>
      <c r="F193" s="15">
        <v>5900</v>
      </c>
      <c r="G193" s="136"/>
    </row>
    <row r="194" spans="2:7" s="7" customFormat="1" ht="12.75">
      <c r="B194" s="134"/>
      <c r="C194" s="4"/>
      <c r="D194" s="4">
        <v>4170</v>
      </c>
      <c r="E194" s="8" t="s">
        <v>55</v>
      </c>
      <c r="F194" s="15">
        <v>8000</v>
      </c>
      <c r="G194" s="136" t="s">
        <v>59</v>
      </c>
    </row>
    <row r="195" spans="2:7" s="7" customFormat="1" ht="25.5">
      <c r="B195" s="134"/>
      <c r="C195" s="4"/>
      <c r="D195" s="4">
        <v>4210</v>
      </c>
      <c r="E195" s="8" t="s">
        <v>3</v>
      </c>
      <c r="F195" s="15">
        <v>13000</v>
      </c>
      <c r="G195" s="136" t="s">
        <v>141</v>
      </c>
    </row>
    <row r="196" spans="2:7" s="7" customFormat="1" ht="12.75">
      <c r="B196" s="134"/>
      <c r="C196" s="4"/>
      <c r="D196" s="4">
        <v>4260</v>
      </c>
      <c r="E196" s="8" t="s">
        <v>501</v>
      </c>
      <c r="F196" s="15">
        <v>8000</v>
      </c>
      <c r="G196" s="136" t="s">
        <v>142</v>
      </c>
    </row>
    <row r="197" spans="2:7" s="7" customFormat="1" ht="12.75">
      <c r="B197" s="134"/>
      <c r="C197" s="4"/>
      <c r="D197" s="4">
        <v>4270</v>
      </c>
      <c r="E197" s="8" t="s">
        <v>5</v>
      </c>
      <c r="F197" s="15">
        <v>2000</v>
      </c>
      <c r="G197" s="136" t="s">
        <v>143</v>
      </c>
    </row>
    <row r="198" spans="2:7" s="7" customFormat="1" ht="25.5">
      <c r="B198" s="134"/>
      <c r="C198" s="4"/>
      <c r="D198" s="4">
        <v>4300</v>
      </c>
      <c r="E198" s="8" t="s">
        <v>500</v>
      </c>
      <c r="F198" s="15">
        <v>25000</v>
      </c>
      <c r="G198" s="136" t="s">
        <v>60</v>
      </c>
    </row>
    <row r="199" spans="2:7" s="7" customFormat="1" ht="12.75">
      <c r="B199" s="134"/>
      <c r="C199" s="4"/>
      <c r="D199" s="4">
        <v>4410</v>
      </c>
      <c r="E199" s="8" t="s">
        <v>436</v>
      </c>
      <c r="F199" s="15">
        <v>10000</v>
      </c>
      <c r="G199" s="136" t="s">
        <v>144</v>
      </c>
    </row>
    <row r="200" spans="2:7" s="7" customFormat="1" ht="12.75">
      <c r="B200" s="134"/>
      <c r="C200" s="4"/>
      <c r="D200" s="4">
        <v>4430</v>
      </c>
      <c r="E200" s="8" t="s">
        <v>437</v>
      </c>
      <c r="F200" s="15">
        <v>600</v>
      </c>
      <c r="G200" s="136" t="s">
        <v>145</v>
      </c>
    </row>
    <row r="201" spans="2:7" s="7" customFormat="1" ht="25.5">
      <c r="B201" s="134"/>
      <c r="C201" s="4"/>
      <c r="D201" s="4">
        <v>4440</v>
      </c>
      <c r="E201" s="8" t="s">
        <v>439</v>
      </c>
      <c r="F201" s="15">
        <v>6300</v>
      </c>
      <c r="G201" s="136"/>
    </row>
    <row r="202" spans="2:7" s="7" customFormat="1" ht="25.5">
      <c r="B202" s="134"/>
      <c r="C202" s="3">
        <v>85228</v>
      </c>
      <c r="D202" s="3"/>
      <c r="E202" s="29" t="s">
        <v>9</v>
      </c>
      <c r="F202" s="26">
        <f>SUM(F203:F205)</f>
        <v>21720</v>
      </c>
      <c r="G202" s="136" t="s">
        <v>233</v>
      </c>
    </row>
    <row r="203" spans="2:7" s="7" customFormat="1" ht="12.75">
      <c r="B203" s="134"/>
      <c r="C203" s="4"/>
      <c r="D203" s="4">
        <v>4010</v>
      </c>
      <c r="E203" s="8" t="s">
        <v>433</v>
      </c>
      <c r="F203" s="15">
        <v>18000</v>
      </c>
      <c r="G203" s="136" t="s">
        <v>139</v>
      </c>
    </row>
    <row r="204" spans="2:7" s="7" customFormat="1" ht="12.75">
      <c r="B204" s="134"/>
      <c r="C204" s="4"/>
      <c r="D204" s="4">
        <v>4110</v>
      </c>
      <c r="E204" s="8" t="s">
        <v>2</v>
      </c>
      <c r="F204" s="15">
        <v>3275</v>
      </c>
      <c r="G204" s="136"/>
    </row>
    <row r="205" spans="2:7" s="7" customFormat="1" ht="12.75">
      <c r="B205" s="134"/>
      <c r="C205" s="4"/>
      <c r="D205" s="4">
        <v>4120</v>
      </c>
      <c r="E205" s="8" t="s">
        <v>8</v>
      </c>
      <c r="F205" s="15">
        <v>445</v>
      </c>
      <c r="G205" s="136"/>
    </row>
    <row r="206" spans="2:7" s="7" customFormat="1" ht="12.75">
      <c r="B206" s="134"/>
      <c r="C206" s="3">
        <v>85295</v>
      </c>
      <c r="D206" s="3"/>
      <c r="E206" s="29" t="s">
        <v>406</v>
      </c>
      <c r="F206" s="26">
        <f>SUM(F207:F207)</f>
        <v>35000</v>
      </c>
      <c r="G206" s="136"/>
    </row>
    <row r="207" spans="2:7" s="7" customFormat="1" ht="12.75">
      <c r="B207" s="134"/>
      <c r="C207" s="3"/>
      <c r="D207" s="4">
        <v>3110</v>
      </c>
      <c r="E207" s="8" t="s">
        <v>7</v>
      </c>
      <c r="F207" s="9">
        <v>35000</v>
      </c>
      <c r="G207" s="136" t="s">
        <v>53</v>
      </c>
    </row>
    <row r="208" spans="2:7" s="7" customFormat="1" ht="12.75">
      <c r="B208" s="139">
        <v>900</v>
      </c>
      <c r="C208" s="119"/>
      <c r="D208" s="119"/>
      <c r="E208" s="23" t="s">
        <v>473</v>
      </c>
      <c r="F208" s="120">
        <f>F211+F217+F209</f>
        <v>430138</v>
      </c>
      <c r="G208" s="140"/>
    </row>
    <row r="209" spans="2:7" s="18" customFormat="1" ht="12.75" hidden="1">
      <c r="B209" s="142"/>
      <c r="C209" s="58">
        <v>90001</v>
      </c>
      <c r="D209" s="58"/>
      <c r="E209" s="63" t="s">
        <v>181</v>
      </c>
      <c r="F209" s="24">
        <f>F210</f>
        <v>0</v>
      </c>
      <c r="G209" s="138"/>
    </row>
    <row r="210" spans="2:7" s="18" customFormat="1" ht="24.75" customHeight="1" hidden="1">
      <c r="B210" s="142"/>
      <c r="C210" s="16"/>
      <c r="D210" s="4">
        <v>6050</v>
      </c>
      <c r="E210" s="8" t="s">
        <v>1</v>
      </c>
      <c r="F210" s="31"/>
      <c r="G210" s="138"/>
    </row>
    <row r="211" spans="2:7" s="7" customFormat="1" ht="12.75">
      <c r="B211" s="134"/>
      <c r="C211" s="3">
        <v>90015</v>
      </c>
      <c r="D211" s="3"/>
      <c r="E211" s="29" t="s">
        <v>474</v>
      </c>
      <c r="F211" s="26">
        <f>SUM(F212:F216)</f>
        <v>233138</v>
      </c>
      <c r="G211" s="136"/>
    </row>
    <row r="212" spans="2:7" s="7" customFormat="1" ht="12.75">
      <c r="B212" s="134"/>
      <c r="C212" s="4"/>
      <c r="D212" s="4">
        <v>4210</v>
      </c>
      <c r="E212" s="8" t="s">
        <v>3</v>
      </c>
      <c r="F212" s="15">
        <v>2500</v>
      </c>
      <c r="G212" s="136" t="s">
        <v>146</v>
      </c>
    </row>
    <row r="213" spans="2:7" s="7" customFormat="1" ht="12.75">
      <c r="B213" s="134"/>
      <c r="C213" s="4"/>
      <c r="D213" s="4">
        <v>4260</v>
      </c>
      <c r="E213" s="8" t="s">
        <v>501</v>
      </c>
      <c r="F213" s="15">
        <f>140000-5000</f>
        <v>135000</v>
      </c>
      <c r="G213" s="136" t="s">
        <v>285</v>
      </c>
    </row>
    <row r="214" spans="2:7" s="7" customFormat="1" ht="12.75">
      <c r="B214" s="134"/>
      <c r="C214" s="4"/>
      <c r="D214" s="4">
        <v>4270</v>
      </c>
      <c r="E214" s="8" t="s">
        <v>5</v>
      </c>
      <c r="F214" s="15">
        <v>30000</v>
      </c>
      <c r="G214" s="136" t="s">
        <v>286</v>
      </c>
    </row>
    <row r="215" spans="2:7" s="7" customFormat="1" ht="38.25">
      <c r="B215" s="134"/>
      <c r="C215" s="4"/>
      <c r="D215" s="4">
        <v>4300</v>
      </c>
      <c r="E215" s="8" t="s">
        <v>500</v>
      </c>
      <c r="F215" s="15">
        <f>3500+24000+14000+9638-1138</f>
        <v>50000</v>
      </c>
      <c r="G215" s="136" t="s">
        <v>165</v>
      </c>
    </row>
    <row r="216" spans="2:7" s="7" customFormat="1" ht="12.75">
      <c r="B216" s="134"/>
      <c r="C216" s="4"/>
      <c r="D216" s="4">
        <v>6050</v>
      </c>
      <c r="E216" s="8" t="s">
        <v>1</v>
      </c>
      <c r="F216" s="15">
        <f>24000+12000+9638-30000</f>
        <v>15638</v>
      </c>
      <c r="G216" s="136" t="s">
        <v>236</v>
      </c>
    </row>
    <row r="217" spans="2:7" s="7" customFormat="1" ht="12.75">
      <c r="B217" s="134"/>
      <c r="C217" s="3">
        <v>90095</v>
      </c>
      <c r="D217" s="3"/>
      <c r="E217" s="29" t="s">
        <v>406</v>
      </c>
      <c r="F217" s="26">
        <f>SUM(F218:F222)</f>
        <v>197000</v>
      </c>
      <c r="G217" s="136"/>
    </row>
    <row r="218" spans="2:7" s="7" customFormat="1" ht="12.75">
      <c r="B218" s="134"/>
      <c r="C218" s="3"/>
      <c r="D218" s="246">
        <v>4170</v>
      </c>
      <c r="E218" s="247" t="s">
        <v>63</v>
      </c>
      <c r="F218" s="15">
        <v>13000</v>
      </c>
      <c r="G218" s="136" t="s">
        <v>64</v>
      </c>
    </row>
    <row r="219" spans="2:7" s="7" customFormat="1" ht="38.25">
      <c r="B219" s="134"/>
      <c r="C219" s="3"/>
      <c r="D219" s="4">
        <v>4210</v>
      </c>
      <c r="E219" s="8" t="s">
        <v>3</v>
      </c>
      <c r="F219" s="15">
        <v>25000</v>
      </c>
      <c r="G219" s="136" t="s">
        <v>89</v>
      </c>
    </row>
    <row r="220" spans="2:7" s="7" customFormat="1" ht="12.75">
      <c r="B220" s="134"/>
      <c r="C220" s="4"/>
      <c r="D220" s="4">
        <v>4300</v>
      </c>
      <c r="E220" s="8" t="s">
        <v>500</v>
      </c>
      <c r="F220" s="15">
        <f>11200+20000-10200-15000</f>
        <v>6000</v>
      </c>
      <c r="G220" s="136" t="s">
        <v>90</v>
      </c>
    </row>
    <row r="221" spans="2:7" s="7" customFormat="1" ht="12.75">
      <c r="B221" s="134"/>
      <c r="C221" s="4"/>
      <c r="D221" s="4">
        <v>4260</v>
      </c>
      <c r="E221" s="8" t="s">
        <v>501</v>
      </c>
      <c r="F221" s="15">
        <v>2000</v>
      </c>
      <c r="G221" s="136" t="s">
        <v>147</v>
      </c>
    </row>
    <row r="222" spans="2:7" s="7" customFormat="1" ht="12.75">
      <c r="B222" s="134"/>
      <c r="C222" s="4"/>
      <c r="D222" s="4">
        <v>6050</v>
      </c>
      <c r="E222" s="8" t="s">
        <v>1</v>
      </c>
      <c r="F222" s="15">
        <v>151000</v>
      </c>
      <c r="G222" s="136" t="s">
        <v>168</v>
      </c>
    </row>
    <row r="223" spans="2:7" s="7" customFormat="1" ht="12.75">
      <c r="B223" s="139">
        <v>921</v>
      </c>
      <c r="C223" s="119"/>
      <c r="D223" s="119"/>
      <c r="E223" s="23" t="s">
        <v>478</v>
      </c>
      <c r="F223" s="120">
        <f>F224+F226</f>
        <v>452000</v>
      </c>
      <c r="G223" s="140"/>
    </row>
    <row r="224" spans="2:7" s="7" customFormat="1" ht="12.75">
      <c r="B224" s="134"/>
      <c r="C224" s="3">
        <v>92109</v>
      </c>
      <c r="D224" s="3"/>
      <c r="E224" s="29" t="s">
        <v>475</v>
      </c>
      <c r="F224" s="26">
        <f>SUM(F225:F225)</f>
        <v>182000</v>
      </c>
      <c r="G224" s="136"/>
    </row>
    <row r="225" spans="2:7" s="7" customFormat="1" ht="25.5">
      <c r="B225" s="134"/>
      <c r="C225" s="4"/>
      <c r="D225" s="4">
        <v>2550</v>
      </c>
      <c r="E225" s="8" t="s">
        <v>175</v>
      </c>
      <c r="F225" s="15">
        <f>202000-20000</f>
        <v>182000</v>
      </c>
      <c r="G225" s="136" t="s">
        <v>371</v>
      </c>
    </row>
    <row r="226" spans="2:7" s="7" customFormat="1" ht="12.75">
      <c r="B226" s="134"/>
      <c r="C226" s="3">
        <v>92116</v>
      </c>
      <c r="D226" s="3"/>
      <c r="E226" s="29" t="s">
        <v>421</v>
      </c>
      <c r="F226" s="26">
        <f>SUM(F227:F227)</f>
        <v>270000</v>
      </c>
      <c r="G226" s="136"/>
    </row>
    <row r="227" spans="2:7" s="7" customFormat="1" ht="25.5">
      <c r="B227" s="134"/>
      <c r="C227" s="4"/>
      <c r="D227" s="4">
        <v>2550</v>
      </c>
      <c r="E227" s="8" t="s">
        <v>175</v>
      </c>
      <c r="F227" s="15">
        <f>300000-30000</f>
        <v>270000</v>
      </c>
      <c r="G227" s="136" t="s">
        <v>372</v>
      </c>
    </row>
    <row r="228" spans="2:7" s="7" customFormat="1" ht="12.75">
      <c r="B228" s="139">
        <v>926</v>
      </c>
      <c r="C228" s="119"/>
      <c r="D228" s="119"/>
      <c r="E228" s="23" t="s">
        <v>451</v>
      </c>
      <c r="F228" s="120">
        <f>F229+F235</f>
        <v>103276</v>
      </c>
      <c r="G228" s="140"/>
    </row>
    <row r="229" spans="2:7" s="7" customFormat="1" ht="12.75">
      <c r="B229" s="134"/>
      <c r="C229" s="3">
        <v>92605</v>
      </c>
      <c r="D229" s="3"/>
      <c r="E229" s="29" t="s">
        <v>272</v>
      </c>
      <c r="F229" s="26">
        <f>SUM(F230:F234)</f>
        <v>29732</v>
      </c>
      <c r="G229" s="244" t="s">
        <v>373</v>
      </c>
    </row>
    <row r="230" spans="2:7" s="7" customFormat="1" ht="12.75">
      <c r="B230" s="134"/>
      <c r="C230" s="3"/>
      <c r="D230" s="4">
        <v>3030</v>
      </c>
      <c r="E230" s="8" t="s">
        <v>435</v>
      </c>
      <c r="F230" s="9">
        <f>3900-1000</f>
        <v>2900</v>
      </c>
      <c r="G230" s="136"/>
    </row>
    <row r="231" spans="2:7" s="7" customFormat="1" ht="12.75">
      <c r="B231" s="134"/>
      <c r="C231" s="3"/>
      <c r="D231" s="4">
        <v>4170</v>
      </c>
      <c r="E231" s="8" t="s">
        <v>55</v>
      </c>
      <c r="F231" s="9">
        <f>14400+780+3072</f>
        <v>18252</v>
      </c>
      <c r="G231" s="136" t="s">
        <v>58</v>
      </c>
    </row>
    <row r="232" spans="2:7" s="7" customFormat="1" ht="12.75">
      <c r="B232" s="134"/>
      <c r="C232" s="3"/>
      <c r="D232" s="4">
        <v>4210</v>
      </c>
      <c r="E232" s="8" t="s">
        <v>3</v>
      </c>
      <c r="F232" s="9">
        <v>3000</v>
      </c>
      <c r="G232" s="136"/>
    </row>
    <row r="233" spans="2:7" s="7" customFormat="1" ht="12.75">
      <c r="B233" s="134"/>
      <c r="C233" s="3"/>
      <c r="D233" s="4">
        <v>4300</v>
      </c>
      <c r="E233" s="8" t="s">
        <v>500</v>
      </c>
      <c r="F233" s="9">
        <f>5000-2000</f>
        <v>3000</v>
      </c>
      <c r="G233" s="136"/>
    </row>
    <row r="234" spans="2:7" s="7" customFormat="1" ht="12.75">
      <c r="B234" s="134"/>
      <c r="C234" s="3"/>
      <c r="D234" s="4">
        <v>4430</v>
      </c>
      <c r="E234" s="8" t="s">
        <v>437</v>
      </c>
      <c r="F234" s="15">
        <v>2580</v>
      </c>
      <c r="G234" s="136" t="s">
        <v>40</v>
      </c>
    </row>
    <row r="235" spans="2:7" s="7" customFormat="1" ht="25.5">
      <c r="B235" s="134"/>
      <c r="C235" s="3">
        <v>92695</v>
      </c>
      <c r="D235" s="3"/>
      <c r="E235" s="29" t="s">
        <v>406</v>
      </c>
      <c r="F235" s="26">
        <f>SUM(F236:F242)</f>
        <v>73544</v>
      </c>
      <c r="G235" s="244" t="s">
        <v>41</v>
      </c>
    </row>
    <row r="236" spans="2:7" s="7" customFormat="1" ht="12.75">
      <c r="B236" s="134"/>
      <c r="C236" s="4"/>
      <c r="D236" s="4">
        <v>3030</v>
      </c>
      <c r="E236" s="8" t="s">
        <v>435</v>
      </c>
      <c r="F236" s="15">
        <v>1000</v>
      </c>
      <c r="G236" s="136" t="s">
        <v>148</v>
      </c>
    </row>
    <row r="237" spans="2:7" s="7" customFormat="1" ht="25.5">
      <c r="B237" s="134"/>
      <c r="C237" s="4"/>
      <c r="D237" s="4">
        <v>4170</v>
      </c>
      <c r="E237" s="8" t="s">
        <v>55</v>
      </c>
      <c r="F237" s="15">
        <f>3744+2500</f>
        <v>6244</v>
      </c>
      <c r="G237" s="136" t="s">
        <v>56</v>
      </c>
    </row>
    <row r="238" spans="2:7" s="7" customFormat="1" ht="43.5" customHeight="1">
      <c r="B238" s="134"/>
      <c r="C238" s="4"/>
      <c r="D238" s="4">
        <v>4210</v>
      </c>
      <c r="E238" s="8" t="s">
        <v>3</v>
      </c>
      <c r="F238" s="15">
        <f>24300-5000</f>
        <v>19300</v>
      </c>
      <c r="G238" s="136" t="s">
        <v>149</v>
      </c>
    </row>
    <row r="239" spans="2:7" s="7" customFormat="1" ht="12.75">
      <c r="B239" s="134"/>
      <c r="C239" s="4"/>
      <c r="D239" s="4">
        <v>4260</v>
      </c>
      <c r="E239" s="8" t="s">
        <v>501</v>
      </c>
      <c r="F239" s="15">
        <v>7000</v>
      </c>
      <c r="G239" s="136" t="s">
        <v>42</v>
      </c>
    </row>
    <row r="240" spans="2:7" s="7" customFormat="1" ht="25.5">
      <c r="B240" s="134"/>
      <c r="C240" s="4"/>
      <c r="D240" s="4">
        <v>4300</v>
      </c>
      <c r="E240" s="8" t="s">
        <v>500</v>
      </c>
      <c r="F240" s="15">
        <f>45000-7000</f>
        <v>38000</v>
      </c>
      <c r="G240" s="136" t="s">
        <v>57</v>
      </c>
    </row>
    <row r="241" spans="2:7" s="7" customFormat="1" ht="12.75">
      <c r="B241" s="134"/>
      <c r="C241" s="4"/>
      <c r="D241" s="4">
        <v>4410</v>
      </c>
      <c r="E241" s="8" t="s">
        <v>436</v>
      </c>
      <c r="F241" s="15">
        <v>800</v>
      </c>
      <c r="G241" s="136"/>
    </row>
    <row r="242" spans="2:7" s="7" customFormat="1" ht="12.75">
      <c r="B242" s="134"/>
      <c r="C242" s="4"/>
      <c r="D242" s="4">
        <v>4430</v>
      </c>
      <c r="E242" s="8" t="s">
        <v>437</v>
      </c>
      <c r="F242" s="15">
        <v>1200</v>
      </c>
      <c r="G242" s="136" t="s">
        <v>150</v>
      </c>
    </row>
    <row r="243" spans="2:7" s="7" customFormat="1" ht="13.5" thickBot="1">
      <c r="B243" s="143"/>
      <c r="C243" s="144"/>
      <c r="D243" s="144"/>
      <c r="E243" s="124" t="s">
        <v>431</v>
      </c>
      <c r="F243" s="125">
        <f>F5+F23+F27+F39+F70+F73+F98+F101+F165+F172+F208+F223+F228+F34+F95+F90+F19</f>
        <v>20708865</v>
      </c>
      <c r="G243" s="145"/>
    </row>
    <row r="244" spans="6:7" s="7" customFormat="1" ht="12.75">
      <c r="F244" s="20"/>
      <c r="G244" s="94"/>
    </row>
    <row r="245" spans="5:7" s="7" customFormat="1" ht="15.75">
      <c r="E245" s="126"/>
      <c r="F245" s="151"/>
      <c r="G245" s="129"/>
    </row>
    <row r="246" spans="4:7" s="7" customFormat="1" ht="12.75">
      <c r="D246" s="77"/>
      <c r="E246" s="20"/>
      <c r="G246" s="92"/>
    </row>
    <row r="247" s="7" customFormat="1" ht="12.75">
      <c r="G247" s="92"/>
    </row>
    <row r="248" spans="5:7" s="7" customFormat="1" ht="12.75">
      <c r="E248" s="20"/>
      <c r="F248" s="20"/>
      <c r="G248" s="92"/>
    </row>
    <row r="249" spans="6:7" s="7" customFormat="1" ht="12.75">
      <c r="F249" s="20"/>
      <c r="G249" s="92"/>
    </row>
    <row r="250" spans="6:7" s="7" customFormat="1" ht="12.75">
      <c r="F250" s="20"/>
      <c r="G250" s="92"/>
    </row>
    <row r="251" spans="6:7" s="7" customFormat="1" ht="12.75">
      <c r="F251" s="20"/>
      <c r="G251" s="92"/>
    </row>
    <row r="252" spans="6:7" s="7" customFormat="1" ht="12.75">
      <c r="F252" s="20"/>
      <c r="G252" s="92"/>
    </row>
    <row r="253" spans="6:7" s="7" customFormat="1" ht="12.75">
      <c r="F253" s="20"/>
      <c r="G253" s="92"/>
    </row>
    <row r="254" spans="6:7" s="7" customFormat="1" ht="12.75">
      <c r="F254" s="20"/>
      <c r="G254" s="92"/>
    </row>
    <row r="255" spans="6:7" s="7" customFormat="1" ht="12.75">
      <c r="F255" s="20"/>
      <c r="G255" s="92"/>
    </row>
    <row r="256" s="7" customFormat="1" ht="12.75">
      <c r="G256" s="92"/>
    </row>
    <row r="257" s="7" customFormat="1" ht="12.75">
      <c r="G257" s="92"/>
    </row>
  </sheetData>
  <mergeCells count="18">
    <mergeCell ref="G41:G42"/>
    <mergeCell ref="G12:G13"/>
    <mergeCell ref="G17:G18"/>
    <mergeCell ref="G8:G9"/>
    <mergeCell ref="G24:G25"/>
    <mergeCell ref="F2:F3"/>
    <mergeCell ref="G167:G171"/>
    <mergeCell ref="G66:G69"/>
    <mergeCell ref="G86:G89"/>
    <mergeCell ref="G99:G100"/>
    <mergeCell ref="G96:G97"/>
    <mergeCell ref="G146:G148"/>
    <mergeCell ref="G161:G162"/>
    <mergeCell ref="B2:B3"/>
    <mergeCell ref="C2:C3"/>
    <mergeCell ref="D2:D3"/>
    <mergeCell ref="E2:E3"/>
    <mergeCell ref="G2:G3"/>
  </mergeCells>
  <printOptions horizontalCentered="1"/>
  <pageMargins left="0.11811023622047245" right="0.1968503937007874" top="0.15748031496062992" bottom="0.15748031496062992" header="0.07874015748031496"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61"/>
  <sheetViews>
    <sheetView workbookViewId="0" topLeftCell="E1">
      <selection activeCell="X1" sqref="X1:Y1"/>
    </sheetView>
  </sheetViews>
  <sheetFormatPr defaultColWidth="9.00390625" defaultRowHeight="12.75"/>
  <cols>
    <col min="1" max="1" width="4.75390625" style="68" customWidth="1"/>
    <col min="2" max="2" width="6.875" style="68" customWidth="1"/>
    <col min="3" max="3" width="5.75390625" style="68" customWidth="1"/>
    <col min="4" max="4" width="38.25390625" style="68" customWidth="1"/>
    <col min="5" max="5" width="15.625" style="96" customWidth="1"/>
    <col min="6" max="9" width="10.875" style="70" hidden="1" customWidth="1"/>
    <col min="10" max="21" width="15.625" style="68" hidden="1" customWidth="1"/>
    <col min="22" max="22" width="7.875" style="68" customWidth="1"/>
    <col min="23" max="23" width="4.375" style="68" customWidth="1"/>
    <col min="24" max="24" width="33.125" style="68" customWidth="1"/>
    <col min="25" max="25" width="16.75390625" style="68" customWidth="1"/>
    <col min="26" max="16384" width="9.125" style="68" customWidth="1"/>
  </cols>
  <sheetData>
    <row r="1" spans="5:25" ht="12.75">
      <c r="E1" s="55"/>
      <c r="F1" s="19"/>
      <c r="G1" s="19"/>
      <c r="H1" s="19"/>
      <c r="I1" s="19"/>
      <c r="J1" s="7"/>
      <c r="X1" s="316" t="s">
        <v>210</v>
      </c>
      <c r="Y1" s="316"/>
    </row>
    <row r="2" spans="6:10" ht="12.75">
      <c r="F2" s="64"/>
      <c r="G2" s="64"/>
      <c r="H2" s="64"/>
      <c r="I2" s="64"/>
      <c r="J2" s="65"/>
    </row>
    <row r="3" spans="1:25" ht="15.75">
      <c r="A3" s="329" t="s">
        <v>237</v>
      </c>
      <c r="B3" s="329"/>
      <c r="C3" s="329"/>
      <c r="D3" s="329"/>
      <c r="E3" s="329"/>
      <c r="F3" s="329"/>
      <c r="G3" s="329"/>
      <c r="H3" s="329"/>
      <c r="I3" s="329"/>
      <c r="J3" s="329"/>
      <c r="K3" s="329"/>
      <c r="L3" s="329"/>
      <c r="M3" s="329"/>
      <c r="N3" s="329"/>
      <c r="O3" s="329"/>
      <c r="P3" s="329"/>
      <c r="Q3" s="329"/>
      <c r="R3" s="329"/>
      <c r="S3" s="329"/>
      <c r="T3" s="329"/>
      <c r="U3" s="329"/>
      <c r="V3" s="329"/>
      <c r="W3" s="329"/>
      <c r="X3" s="329"/>
      <c r="Y3" s="329"/>
    </row>
    <row r="4" spans="1:25" ht="15.75">
      <c r="A4" s="329" t="s">
        <v>212</v>
      </c>
      <c r="B4" s="329"/>
      <c r="C4" s="329"/>
      <c r="D4" s="329"/>
      <c r="E4" s="329"/>
      <c r="F4" s="329"/>
      <c r="G4" s="329"/>
      <c r="H4" s="329"/>
      <c r="I4" s="329"/>
      <c r="J4" s="329"/>
      <c r="K4" s="329"/>
      <c r="L4" s="329"/>
      <c r="M4" s="329"/>
      <c r="N4" s="329"/>
      <c r="O4" s="329"/>
      <c r="P4" s="329"/>
      <c r="Q4" s="329"/>
      <c r="R4" s="329"/>
      <c r="S4" s="329"/>
      <c r="T4" s="329"/>
      <c r="U4" s="329"/>
      <c r="V4" s="329"/>
      <c r="W4" s="329"/>
      <c r="X4" s="329"/>
      <c r="Y4" s="329"/>
    </row>
    <row r="5" spans="1:22" ht="13.5" thickBot="1">
      <c r="A5" s="66"/>
      <c r="B5" s="69"/>
      <c r="C5" s="69"/>
      <c r="V5" s="113"/>
    </row>
    <row r="6" spans="1:25" s="73" customFormat="1" ht="16.5" thickBot="1">
      <c r="A6" s="271" t="s">
        <v>389</v>
      </c>
      <c r="B6" s="271" t="s">
        <v>390</v>
      </c>
      <c r="C6" s="271" t="s">
        <v>391</v>
      </c>
      <c r="D6" s="271" t="s">
        <v>392</v>
      </c>
      <c r="E6" s="271" t="s">
        <v>116</v>
      </c>
      <c r="F6" s="276" t="s">
        <v>122</v>
      </c>
      <c r="G6" s="277"/>
      <c r="H6" s="278"/>
      <c r="I6" s="278"/>
      <c r="J6" s="271" t="s">
        <v>393</v>
      </c>
      <c r="K6" s="272" t="s">
        <v>394</v>
      </c>
      <c r="L6" s="272" t="s">
        <v>395</v>
      </c>
      <c r="M6" s="272" t="s">
        <v>396</v>
      </c>
      <c r="N6" s="272" t="s">
        <v>397</v>
      </c>
      <c r="O6" s="272" t="s">
        <v>398</v>
      </c>
      <c r="P6" s="272" t="s">
        <v>399</v>
      </c>
      <c r="Q6" s="272" t="s">
        <v>400</v>
      </c>
      <c r="R6" s="272" t="s">
        <v>401</v>
      </c>
      <c r="S6" s="272" t="s">
        <v>402</v>
      </c>
      <c r="T6" s="272" t="s">
        <v>403</v>
      </c>
      <c r="U6" s="272" t="s">
        <v>404</v>
      </c>
      <c r="V6" s="271" t="s">
        <v>390</v>
      </c>
      <c r="W6" s="271" t="s">
        <v>391</v>
      </c>
      <c r="X6" s="271" t="s">
        <v>392</v>
      </c>
      <c r="Y6" s="279" t="s">
        <v>65</v>
      </c>
    </row>
    <row r="7" spans="1:25" s="76" customFormat="1" ht="12.75">
      <c r="A7" s="74"/>
      <c r="B7" s="74"/>
      <c r="C7" s="74"/>
      <c r="D7" s="74"/>
      <c r="E7" s="97"/>
      <c r="F7" s="75"/>
      <c r="G7" s="75"/>
      <c r="H7" s="75"/>
      <c r="I7" s="75"/>
      <c r="J7" s="74"/>
      <c r="K7" s="74"/>
      <c r="L7" s="74"/>
      <c r="M7" s="74"/>
      <c r="N7" s="74"/>
      <c r="O7" s="74"/>
      <c r="P7" s="74"/>
      <c r="Q7" s="74"/>
      <c r="R7" s="74"/>
      <c r="S7" s="74"/>
      <c r="T7" s="74"/>
      <c r="U7" s="74"/>
      <c r="V7" s="74"/>
      <c r="W7" s="97"/>
      <c r="X7" s="97"/>
      <c r="Y7" s="97"/>
    </row>
    <row r="8" spans="1:25" s="7" customFormat="1" ht="12.75">
      <c r="A8" s="10">
        <v>750</v>
      </c>
      <c r="B8" s="10"/>
      <c r="C8" s="10"/>
      <c r="D8" s="12" t="s">
        <v>461</v>
      </c>
      <c r="E8" s="13">
        <f>E9</f>
        <v>53000</v>
      </c>
      <c r="F8" s="13">
        <f>F9</f>
        <v>0</v>
      </c>
      <c r="G8" s="13">
        <f>G9</f>
        <v>0</v>
      </c>
      <c r="H8" s="13">
        <f>H9</f>
        <v>0</v>
      </c>
      <c r="I8" s="49" t="e">
        <f>I9+#REF!+#REF!</f>
        <v>#REF!</v>
      </c>
      <c r="J8" s="13">
        <f aca="true" t="shared" si="0" ref="J8:U8">J9</f>
        <v>2983</v>
      </c>
      <c r="K8" s="13">
        <f t="shared" si="0"/>
        <v>3596</v>
      </c>
      <c r="L8" s="13">
        <f t="shared" si="0"/>
        <v>2893</v>
      </c>
      <c r="M8" s="13">
        <f t="shared" si="0"/>
        <v>0</v>
      </c>
      <c r="N8" s="13">
        <f t="shared" si="0"/>
        <v>3200</v>
      </c>
      <c r="O8" s="13">
        <f t="shared" si="0"/>
        <v>0</v>
      </c>
      <c r="P8" s="13">
        <f t="shared" si="0"/>
        <v>0</v>
      </c>
      <c r="Q8" s="13">
        <f t="shared" si="0"/>
        <v>0</v>
      </c>
      <c r="R8" s="13">
        <f t="shared" si="0"/>
        <v>0</v>
      </c>
      <c r="S8" s="13">
        <f t="shared" si="0"/>
        <v>0</v>
      </c>
      <c r="T8" s="13">
        <f t="shared" si="0"/>
        <v>0</v>
      </c>
      <c r="U8" s="13">
        <f t="shared" si="0"/>
        <v>0</v>
      </c>
      <c r="V8" s="120"/>
      <c r="W8" s="152"/>
      <c r="X8" s="152"/>
      <c r="Y8" s="120">
        <f>Y9</f>
        <v>53000</v>
      </c>
    </row>
    <row r="9" spans="1:25" s="7" customFormat="1" ht="12.75">
      <c r="A9" s="3"/>
      <c r="B9" s="3">
        <v>75011</v>
      </c>
      <c r="C9" s="3"/>
      <c r="D9" s="29" t="s">
        <v>426</v>
      </c>
      <c r="E9" s="5">
        <f>SUM(E10:E10)</f>
        <v>53000</v>
      </c>
      <c r="F9" s="89">
        <f aca="true" t="shared" si="1" ref="F9:U9">SUM(F10:F10)</f>
        <v>0</v>
      </c>
      <c r="G9" s="52">
        <f t="shared" si="1"/>
        <v>0</v>
      </c>
      <c r="H9" s="52">
        <f t="shared" si="1"/>
        <v>0</v>
      </c>
      <c r="I9" s="52">
        <f t="shared" si="1"/>
        <v>0</v>
      </c>
      <c r="J9" s="26">
        <f t="shared" si="1"/>
        <v>2983</v>
      </c>
      <c r="K9" s="26">
        <f t="shared" si="1"/>
        <v>3596</v>
      </c>
      <c r="L9" s="26">
        <f t="shared" si="1"/>
        <v>2893</v>
      </c>
      <c r="M9" s="26">
        <f t="shared" si="1"/>
        <v>0</v>
      </c>
      <c r="N9" s="26">
        <f t="shared" si="1"/>
        <v>3200</v>
      </c>
      <c r="O9" s="26">
        <f t="shared" si="1"/>
        <v>0</v>
      </c>
      <c r="P9" s="26">
        <f t="shared" si="1"/>
        <v>0</v>
      </c>
      <c r="Q9" s="26">
        <f t="shared" si="1"/>
        <v>0</v>
      </c>
      <c r="R9" s="26">
        <f t="shared" si="1"/>
        <v>0</v>
      </c>
      <c r="S9" s="26">
        <f t="shared" si="1"/>
        <v>0</v>
      </c>
      <c r="T9" s="26">
        <f t="shared" si="1"/>
        <v>0</v>
      </c>
      <c r="U9" s="26">
        <f t="shared" si="1"/>
        <v>0</v>
      </c>
      <c r="V9" s="3">
        <v>75011</v>
      </c>
      <c r="W9" s="3"/>
      <c r="X9" s="29" t="s">
        <v>426</v>
      </c>
      <c r="Y9" s="27">
        <f>Y10+Y11</f>
        <v>53000</v>
      </c>
    </row>
    <row r="10" spans="1:25" s="7" customFormat="1" ht="12.75">
      <c r="A10" s="293"/>
      <c r="B10" s="319"/>
      <c r="C10" s="325">
        <v>2010</v>
      </c>
      <c r="D10" s="327" t="s">
        <v>482</v>
      </c>
      <c r="E10" s="323">
        <v>53000</v>
      </c>
      <c r="F10" s="90"/>
      <c r="G10" s="48"/>
      <c r="H10" s="48"/>
      <c r="I10" s="48"/>
      <c r="J10" s="9">
        <v>2983</v>
      </c>
      <c r="K10" s="9">
        <v>3596</v>
      </c>
      <c r="L10" s="9">
        <v>2893</v>
      </c>
      <c r="M10" s="9"/>
      <c r="N10" s="9">
        <v>3200</v>
      </c>
      <c r="O10" s="9"/>
      <c r="P10" s="9"/>
      <c r="Q10" s="9"/>
      <c r="R10" s="9"/>
      <c r="S10" s="9"/>
      <c r="T10" s="9"/>
      <c r="U10" s="9"/>
      <c r="V10" s="317"/>
      <c r="W10" s="59">
        <v>4010</v>
      </c>
      <c r="X10" s="60" t="s">
        <v>433</v>
      </c>
      <c r="Y10" s="15">
        <v>45210</v>
      </c>
    </row>
    <row r="11" spans="1:25" s="7" customFormat="1" ht="12.75">
      <c r="A11" s="295"/>
      <c r="B11" s="320"/>
      <c r="C11" s="326"/>
      <c r="D11" s="328"/>
      <c r="E11" s="324"/>
      <c r="F11" s="90"/>
      <c r="G11" s="48"/>
      <c r="H11" s="48"/>
      <c r="I11" s="48"/>
      <c r="J11" s="9"/>
      <c r="K11" s="9"/>
      <c r="L11" s="9"/>
      <c r="M11" s="9"/>
      <c r="N11" s="9"/>
      <c r="O11" s="9"/>
      <c r="P11" s="9"/>
      <c r="Q11" s="9"/>
      <c r="R11" s="9"/>
      <c r="S11" s="9"/>
      <c r="T11" s="9"/>
      <c r="U11" s="9"/>
      <c r="V11" s="318"/>
      <c r="W11" s="59">
        <v>4110</v>
      </c>
      <c r="X11" s="60" t="s">
        <v>2</v>
      </c>
      <c r="Y11" s="15">
        <v>7790</v>
      </c>
    </row>
    <row r="12" spans="1:25" s="7" customFormat="1" ht="38.25">
      <c r="A12" s="10">
        <v>751</v>
      </c>
      <c r="B12" s="11"/>
      <c r="C12" s="11"/>
      <c r="D12" s="12" t="s">
        <v>462</v>
      </c>
      <c r="E12" s="229">
        <f>E13</f>
        <v>1053</v>
      </c>
      <c r="F12" s="90"/>
      <c r="G12" s="48"/>
      <c r="H12" s="48"/>
      <c r="I12" s="48"/>
      <c r="J12" s="9"/>
      <c r="K12" s="9"/>
      <c r="L12" s="9"/>
      <c r="M12" s="9"/>
      <c r="N12" s="9"/>
      <c r="O12" s="9"/>
      <c r="P12" s="9"/>
      <c r="Q12" s="9"/>
      <c r="R12" s="9"/>
      <c r="S12" s="9"/>
      <c r="T12" s="9"/>
      <c r="U12" s="9"/>
      <c r="V12" s="153"/>
      <c r="W12" s="67"/>
      <c r="X12" s="154"/>
      <c r="Y12" s="275">
        <f>Y13</f>
        <v>1053</v>
      </c>
    </row>
    <row r="13" spans="1:25" s="7" customFormat="1" ht="25.5">
      <c r="A13" s="16"/>
      <c r="B13" s="16">
        <v>75101</v>
      </c>
      <c r="C13" s="16"/>
      <c r="D13" s="30" t="s">
        <v>120</v>
      </c>
      <c r="E13" s="230">
        <f>E14</f>
        <v>1053</v>
      </c>
      <c r="F13" s="90"/>
      <c r="G13" s="48"/>
      <c r="H13" s="48"/>
      <c r="I13" s="48"/>
      <c r="J13" s="9"/>
      <c r="K13" s="9"/>
      <c r="L13" s="9"/>
      <c r="M13" s="9"/>
      <c r="N13" s="9"/>
      <c r="O13" s="9"/>
      <c r="P13" s="9"/>
      <c r="Q13" s="9"/>
      <c r="R13" s="9"/>
      <c r="S13" s="9"/>
      <c r="T13" s="9"/>
      <c r="U13" s="9"/>
      <c r="V13" s="16">
        <v>75101</v>
      </c>
      <c r="W13" s="59"/>
      <c r="X13" s="30" t="s">
        <v>120</v>
      </c>
      <c r="Y13" s="274">
        <f>Y14</f>
        <v>1053</v>
      </c>
    </row>
    <row r="14" spans="1:25" s="7" customFormat="1" ht="51">
      <c r="A14" s="321"/>
      <c r="B14" s="322"/>
      <c r="C14" s="4">
        <v>2010</v>
      </c>
      <c r="D14" s="8" t="s">
        <v>482</v>
      </c>
      <c r="E14" s="231">
        <v>1053</v>
      </c>
      <c r="F14" s="90"/>
      <c r="G14" s="48"/>
      <c r="H14" s="48"/>
      <c r="I14" s="48"/>
      <c r="J14" s="9"/>
      <c r="K14" s="9"/>
      <c r="L14" s="9"/>
      <c r="M14" s="9"/>
      <c r="N14" s="9"/>
      <c r="O14" s="9"/>
      <c r="P14" s="9"/>
      <c r="Q14" s="9"/>
      <c r="R14" s="9"/>
      <c r="S14" s="9"/>
      <c r="T14" s="9"/>
      <c r="U14" s="9"/>
      <c r="V14" s="9"/>
      <c r="W14" s="59">
        <v>4300</v>
      </c>
      <c r="X14" s="60" t="s">
        <v>500</v>
      </c>
      <c r="Y14" s="15">
        <v>1053</v>
      </c>
    </row>
    <row r="15" spans="1:25" s="7" customFormat="1" ht="25.5">
      <c r="A15" s="10">
        <v>754</v>
      </c>
      <c r="B15" s="10"/>
      <c r="C15" s="10"/>
      <c r="D15" s="12" t="s">
        <v>463</v>
      </c>
      <c r="E15" s="13">
        <f aca="true" t="shared" si="2" ref="E15:U15">E16</f>
        <v>400</v>
      </c>
      <c r="F15" s="49">
        <f t="shared" si="2"/>
        <v>0</v>
      </c>
      <c r="G15" s="49">
        <f t="shared" si="2"/>
        <v>0</v>
      </c>
      <c r="H15" s="49">
        <f t="shared" si="2"/>
        <v>0</v>
      </c>
      <c r="I15" s="49">
        <f t="shared" si="2"/>
        <v>0</v>
      </c>
      <c r="J15" s="13">
        <f t="shared" si="2"/>
        <v>0</v>
      </c>
      <c r="K15" s="13">
        <f t="shared" si="2"/>
        <v>0</v>
      </c>
      <c r="L15" s="13">
        <f t="shared" si="2"/>
        <v>0</v>
      </c>
      <c r="M15" s="13">
        <f t="shared" si="2"/>
        <v>200</v>
      </c>
      <c r="N15" s="13">
        <f t="shared" si="2"/>
        <v>0</v>
      </c>
      <c r="O15" s="13">
        <f t="shared" si="2"/>
        <v>0</v>
      </c>
      <c r="P15" s="13">
        <f t="shared" si="2"/>
        <v>0</v>
      </c>
      <c r="Q15" s="13">
        <f t="shared" si="2"/>
        <v>0</v>
      </c>
      <c r="R15" s="13">
        <f t="shared" si="2"/>
        <v>0</v>
      </c>
      <c r="S15" s="13">
        <f t="shared" si="2"/>
        <v>0</v>
      </c>
      <c r="T15" s="13">
        <f t="shared" si="2"/>
        <v>0</v>
      </c>
      <c r="U15" s="13">
        <f t="shared" si="2"/>
        <v>0</v>
      </c>
      <c r="V15" s="120"/>
      <c r="W15" s="152"/>
      <c r="X15" s="152"/>
      <c r="Y15" s="120">
        <f>Y16</f>
        <v>400</v>
      </c>
    </row>
    <row r="16" spans="1:25" s="7" customFormat="1" ht="12.75">
      <c r="A16" s="3"/>
      <c r="B16" s="3">
        <v>75414</v>
      </c>
      <c r="C16" s="3"/>
      <c r="D16" s="29" t="s">
        <v>428</v>
      </c>
      <c r="E16" s="5">
        <f aca="true" t="shared" si="3" ref="E16:U16">SUM(E17)</f>
        <v>400</v>
      </c>
      <c r="F16" s="52">
        <f t="shared" si="3"/>
        <v>0</v>
      </c>
      <c r="G16" s="52">
        <f t="shared" si="3"/>
        <v>0</v>
      </c>
      <c r="H16" s="52">
        <f t="shared" si="3"/>
        <v>0</v>
      </c>
      <c r="I16" s="52">
        <f t="shared" si="3"/>
        <v>0</v>
      </c>
      <c r="J16" s="26">
        <f t="shared" si="3"/>
        <v>0</v>
      </c>
      <c r="K16" s="26">
        <f t="shared" si="3"/>
        <v>0</v>
      </c>
      <c r="L16" s="26">
        <f t="shared" si="3"/>
        <v>0</v>
      </c>
      <c r="M16" s="26">
        <f t="shared" si="3"/>
        <v>200</v>
      </c>
      <c r="N16" s="26">
        <f t="shared" si="3"/>
        <v>0</v>
      </c>
      <c r="O16" s="26">
        <f t="shared" si="3"/>
        <v>0</v>
      </c>
      <c r="P16" s="26">
        <f t="shared" si="3"/>
        <v>0</v>
      </c>
      <c r="Q16" s="26">
        <f t="shared" si="3"/>
        <v>0</v>
      </c>
      <c r="R16" s="26">
        <f t="shared" si="3"/>
        <v>0</v>
      </c>
      <c r="S16" s="26">
        <f t="shared" si="3"/>
        <v>0</v>
      </c>
      <c r="T16" s="26">
        <f t="shared" si="3"/>
        <v>0</v>
      </c>
      <c r="U16" s="26">
        <f t="shared" si="3"/>
        <v>0</v>
      </c>
      <c r="V16" s="3">
        <v>75414</v>
      </c>
      <c r="W16" s="3"/>
      <c r="X16" s="29" t="s">
        <v>428</v>
      </c>
      <c r="Y16" s="27">
        <f>Y17</f>
        <v>400</v>
      </c>
    </row>
    <row r="17" spans="1:25" s="7" customFormat="1" ht="51">
      <c r="A17" s="3"/>
      <c r="B17" s="4"/>
      <c r="C17" s="4">
        <v>2010</v>
      </c>
      <c r="D17" s="8" t="s">
        <v>482</v>
      </c>
      <c r="E17" s="15">
        <v>400</v>
      </c>
      <c r="F17" s="48"/>
      <c r="G17" s="48"/>
      <c r="H17" s="48"/>
      <c r="I17" s="48"/>
      <c r="J17" s="9"/>
      <c r="K17" s="9"/>
      <c r="L17" s="9"/>
      <c r="M17" s="9">
        <v>200</v>
      </c>
      <c r="N17" s="9"/>
      <c r="O17" s="9"/>
      <c r="P17" s="9"/>
      <c r="Q17" s="9"/>
      <c r="R17" s="9"/>
      <c r="S17" s="9"/>
      <c r="T17" s="9"/>
      <c r="U17" s="9"/>
      <c r="V17" s="9"/>
      <c r="W17" s="4">
        <v>4210</v>
      </c>
      <c r="X17" s="8" t="s">
        <v>3</v>
      </c>
      <c r="Y17" s="9">
        <v>400</v>
      </c>
    </row>
    <row r="18" spans="1:25" s="7" customFormat="1" ht="12.75">
      <c r="A18" s="10">
        <v>852</v>
      </c>
      <c r="B18" s="10"/>
      <c r="C18" s="10"/>
      <c r="D18" s="12" t="s">
        <v>423</v>
      </c>
      <c r="E18" s="13">
        <f>E27+E25+E19</f>
        <v>1083600</v>
      </c>
      <c r="F18" s="49" t="e">
        <f>F27+#REF!+#REF!+#REF!+F25+#REF!+#REF!</f>
        <v>#REF!</v>
      </c>
      <c r="G18" s="49" t="e">
        <f>G27+#REF!+#REF!+#REF!+G25+#REF!+#REF!</f>
        <v>#REF!</v>
      </c>
      <c r="H18" s="49" t="e">
        <f>H27+#REF!+#REF!+#REF!+H25+#REF!+#REF!</f>
        <v>#REF!</v>
      </c>
      <c r="I18" s="49" t="e">
        <f>I27+#REF!+#REF!+#REF!+I25+#REF!+#REF!</f>
        <v>#REF!</v>
      </c>
      <c r="J18" s="13" t="e">
        <f>J27+#REF!+#REF!+#REF!+J25+#REF!+#REF!</f>
        <v>#REF!</v>
      </c>
      <c r="K18" s="13" t="e">
        <f>K27+#REF!+#REF!+#REF!+K25+#REF!+#REF!</f>
        <v>#REF!</v>
      </c>
      <c r="L18" s="13" t="e">
        <f>L27+#REF!+#REF!+#REF!+L25+#REF!+#REF!</f>
        <v>#REF!</v>
      </c>
      <c r="M18" s="13" t="e">
        <f>M27+#REF!+#REF!+#REF!+M25+#REF!+#REF!</f>
        <v>#REF!</v>
      </c>
      <c r="N18" s="13" t="e">
        <f>N27+#REF!+#REF!+#REF!+N25+#REF!+#REF!</f>
        <v>#REF!</v>
      </c>
      <c r="O18" s="13" t="e">
        <f>O27+#REF!+#REF!+#REF!+O25+#REF!+#REF!</f>
        <v>#REF!</v>
      </c>
      <c r="P18" s="13" t="e">
        <f>P27+#REF!+#REF!+#REF!+P25+#REF!+#REF!</f>
        <v>#REF!</v>
      </c>
      <c r="Q18" s="13" t="e">
        <f>Q27+#REF!+#REF!+#REF!+Q25+#REF!+#REF!</f>
        <v>#REF!</v>
      </c>
      <c r="R18" s="13" t="e">
        <f>R27+#REF!+#REF!+#REF!+R25+#REF!+#REF!</f>
        <v>#REF!</v>
      </c>
      <c r="S18" s="13" t="e">
        <f>S27+#REF!+#REF!+#REF!+S25+#REF!+#REF!</f>
        <v>#REF!</v>
      </c>
      <c r="T18" s="13" t="e">
        <f>T27+#REF!+#REF!+#REF!+T25+#REF!+#REF!</f>
        <v>#REF!</v>
      </c>
      <c r="U18" s="13" t="e">
        <f>U27+#REF!+#REF!+#REF!+U25+#REF!+#REF!</f>
        <v>#REF!</v>
      </c>
      <c r="V18" s="120"/>
      <c r="W18" s="152"/>
      <c r="X18" s="152"/>
      <c r="Y18" s="120">
        <f>Y27+Y25+Y19</f>
        <v>1083600</v>
      </c>
    </row>
    <row r="19" spans="1:25" s="235" customFormat="1" ht="38.25">
      <c r="A19" s="232"/>
      <c r="B19" s="228">
        <v>85212</v>
      </c>
      <c r="C19" s="17"/>
      <c r="D19" s="29" t="s">
        <v>153</v>
      </c>
      <c r="E19" s="237">
        <f>SUM(E20:E24)</f>
        <v>1057000</v>
      </c>
      <c r="F19" s="234"/>
      <c r="G19" s="234"/>
      <c r="H19" s="234"/>
      <c r="I19" s="234"/>
      <c r="J19" s="233"/>
      <c r="K19" s="233"/>
      <c r="L19" s="233"/>
      <c r="M19" s="233"/>
      <c r="N19" s="233"/>
      <c r="O19" s="233"/>
      <c r="P19" s="233"/>
      <c r="Q19" s="233"/>
      <c r="R19" s="233"/>
      <c r="S19" s="233"/>
      <c r="T19" s="233"/>
      <c r="U19" s="233"/>
      <c r="V19" s="228">
        <v>85212</v>
      </c>
      <c r="W19" s="17"/>
      <c r="X19" s="29" t="s">
        <v>153</v>
      </c>
      <c r="Y19" s="237">
        <f>SUM(Y20:Y24)</f>
        <v>1057000</v>
      </c>
    </row>
    <row r="20" spans="1:25" s="235" customFormat="1" ht="12.75">
      <c r="A20" s="334"/>
      <c r="B20" s="335"/>
      <c r="C20" s="325">
        <v>2010</v>
      </c>
      <c r="D20" s="327" t="s">
        <v>482</v>
      </c>
      <c r="E20" s="342">
        <v>1057000</v>
      </c>
      <c r="F20" s="234"/>
      <c r="G20" s="234"/>
      <c r="H20" s="234"/>
      <c r="I20" s="234"/>
      <c r="J20" s="233"/>
      <c r="K20" s="233"/>
      <c r="L20" s="233"/>
      <c r="M20" s="233"/>
      <c r="N20" s="233"/>
      <c r="O20" s="233"/>
      <c r="P20" s="233"/>
      <c r="Q20" s="233"/>
      <c r="R20" s="233"/>
      <c r="S20" s="233"/>
      <c r="T20" s="233"/>
      <c r="U20" s="233"/>
      <c r="V20" s="345"/>
      <c r="W20" s="4">
        <v>3110</v>
      </c>
      <c r="X20" s="8" t="s">
        <v>7</v>
      </c>
      <c r="Y20" s="236">
        <v>1035860</v>
      </c>
    </row>
    <row r="21" spans="1:25" s="235" customFormat="1" ht="12.75">
      <c r="A21" s="336"/>
      <c r="B21" s="337"/>
      <c r="C21" s="340"/>
      <c r="D21" s="341"/>
      <c r="E21" s="343"/>
      <c r="F21" s="234"/>
      <c r="G21" s="234"/>
      <c r="H21" s="234"/>
      <c r="I21" s="234"/>
      <c r="J21" s="233"/>
      <c r="K21" s="233"/>
      <c r="L21" s="233"/>
      <c r="M21" s="233"/>
      <c r="N21" s="233"/>
      <c r="O21" s="233"/>
      <c r="P21" s="233"/>
      <c r="Q21" s="233"/>
      <c r="R21" s="233"/>
      <c r="S21" s="233"/>
      <c r="T21" s="233"/>
      <c r="U21" s="233"/>
      <c r="V21" s="346"/>
      <c r="W21" s="4">
        <v>4010</v>
      </c>
      <c r="X21" s="8" t="s">
        <v>433</v>
      </c>
      <c r="Y21" s="236">
        <v>13163</v>
      </c>
    </row>
    <row r="22" spans="1:25" s="235" customFormat="1" ht="12.75">
      <c r="A22" s="336"/>
      <c r="B22" s="337"/>
      <c r="C22" s="340"/>
      <c r="D22" s="341"/>
      <c r="E22" s="343"/>
      <c r="F22" s="234"/>
      <c r="G22" s="234"/>
      <c r="H22" s="234"/>
      <c r="I22" s="234"/>
      <c r="J22" s="233"/>
      <c r="K22" s="233"/>
      <c r="L22" s="233"/>
      <c r="M22" s="233"/>
      <c r="N22" s="233"/>
      <c r="O22" s="233"/>
      <c r="P22" s="233"/>
      <c r="Q22" s="233"/>
      <c r="R22" s="233"/>
      <c r="S22" s="233"/>
      <c r="T22" s="233"/>
      <c r="U22" s="233"/>
      <c r="V22" s="346"/>
      <c r="W22" s="4">
        <v>4110</v>
      </c>
      <c r="X22" s="8" t="s">
        <v>2</v>
      </c>
      <c r="Y22" s="236">
        <v>2269</v>
      </c>
    </row>
    <row r="23" spans="1:25" s="235" customFormat="1" ht="12.75">
      <c r="A23" s="336"/>
      <c r="B23" s="337"/>
      <c r="C23" s="340"/>
      <c r="D23" s="341"/>
      <c r="E23" s="343"/>
      <c r="F23" s="234"/>
      <c r="G23" s="234"/>
      <c r="H23" s="234"/>
      <c r="I23" s="234"/>
      <c r="J23" s="233"/>
      <c r="K23" s="233"/>
      <c r="L23" s="233"/>
      <c r="M23" s="233"/>
      <c r="N23" s="233"/>
      <c r="O23" s="233"/>
      <c r="P23" s="233"/>
      <c r="Q23" s="233"/>
      <c r="R23" s="233"/>
      <c r="S23" s="233"/>
      <c r="T23" s="233"/>
      <c r="U23" s="233"/>
      <c r="V23" s="346"/>
      <c r="W23" s="4">
        <v>4210</v>
      </c>
      <c r="X23" s="8" t="s">
        <v>3</v>
      </c>
      <c r="Y23" s="236">
        <v>300</v>
      </c>
    </row>
    <row r="24" spans="1:25" s="235" customFormat="1" ht="12.75">
      <c r="A24" s="338"/>
      <c r="B24" s="339"/>
      <c r="C24" s="326"/>
      <c r="D24" s="328"/>
      <c r="E24" s="344"/>
      <c r="F24" s="234"/>
      <c r="G24" s="234"/>
      <c r="H24" s="234"/>
      <c r="I24" s="234"/>
      <c r="J24" s="233"/>
      <c r="K24" s="233"/>
      <c r="L24" s="233"/>
      <c r="M24" s="233"/>
      <c r="N24" s="233"/>
      <c r="O24" s="233"/>
      <c r="P24" s="233"/>
      <c r="Q24" s="233"/>
      <c r="R24" s="233"/>
      <c r="S24" s="233"/>
      <c r="T24" s="233"/>
      <c r="U24" s="233"/>
      <c r="V24" s="347"/>
      <c r="W24" s="4">
        <v>4300</v>
      </c>
      <c r="X24" s="8" t="s">
        <v>500</v>
      </c>
      <c r="Y24" s="236">
        <v>5408</v>
      </c>
    </row>
    <row r="25" spans="1:25" s="18" customFormat="1" ht="38.25">
      <c r="A25" s="16"/>
      <c r="B25" s="3">
        <v>85213</v>
      </c>
      <c r="C25" s="3"/>
      <c r="D25" s="29" t="s">
        <v>190</v>
      </c>
      <c r="E25" s="87">
        <f>E26</f>
        <v>12900</v>
      </c>
      <c r="F25" s="51">
        <f aca="true" t="shared" si="4" ref="F25:K25">F26</f>
        <v>0</v>
      </c>
      <c r="G25" s="51">
        <f t="shared" si="4"/>
        <v>0</v>
      </c>
      <c r="H25" s="51">
        <f t="shared" si="4"/>
        <v>2500</v>
      </c>
      <c r="I25" s="51">
        <f t="shared" si="4"/>
        <v>0</v>
      </c>
      <c r="J25" s="24">
        <f t="shared" si="4"/>
        <v>1183</v>
      </c>
      <c r="K25" s="24">
        <f t="shared" si="4"/>
        <v>805</v>
      </c>
      <c r="L25" s="24">
        <f>L26</f>
        <v>582</v>
      </c>
      <c r="M25" s="24">
        <f>M26</f>
        <v>1183</v>
      </c>
      <c r="N25" s="24">
        <f>N26</f>
        <v>2163</v>
      </c>
      <c r="O25" s="24"/>
      <c r="P25" s="24"/>
      <c r="Q25" s="24"/>
      <c r="R25" s="24"/>
      <c r="S25" s="24"/>
      <c r="T25" s="24"/>
      <c r="U25" s="24"/>
      <c r="V25" s="3">
        <v>85213</v>
      </c>
      <c r="W25" s="3"/>
      <c r="X25" s="29" t="s">
        <v>190</v>
      </c>
      <c r="Y25" s="87">
        <f>Y26</f>
        <v>12900</v>
      </c>
    </row>
    <row r="26" spans="1:25" s="18" customFormat="1" ht="51">
      <c r="A26" s="321"/>
      <c r="B26" s="322"/>
      <c r="C26" s="4">
        <v>2010</v>
      </c>
      <c r="D26" s="8" t="s">
        <v>482</v>
      </c>
      <c r="E26" s="31">
        <v>12900</v>
      </c>
      <c r="F26" s="51"/>
      <c r="G26" s="51"/>
      <c r="H26" s="102">
        <v>2500</v>
      </c>
      <c r="I26" s="51"/>
      <c r="J26" s="31">
        <v>1183</v>
      </c>
      <c r="K26" s="31">
        <v>805</v>
      </c>
      <c r="L26" s="31">
        <v>582</v>
      </c>
      <c r="M26" s="31">
        <v>1183</v>
      </c>
      <c r="N26" s="31">
        <v>2163</v>
      </c>
      <c r="O26" s="24"/>
      <c r="P26" s="24"/>
      <c r="Q26" s="24"/>
      <c r="R26" s="24"/>
      <c r="S26" s="24"/>
      <c r="T26" s="24"/>
      <c r="U26" s="24"/>
      <c r="V26" s="24"/>
      <c r="W26" s="4">
        <v>4130</v>
      </c>
      <c r="X26" s="8" t="s">
        <v>159</v>
      </c>
      <c r="Y26" s="31">
        <v>12900</v>
      </c>
    </row>
    <row r="27" spans="1:25" s="7" customFormat="1" ht="25.5">
      <c r="A27" s="3"/>
      <c r="B27" s="3">
        <v>85214</v>
      </c>
      <c r="C27" s="3"/>
      <c r="D27" s="29" t="s">
        <v>470</v>
      </c>
      <c r="E27" s="5">
        <f aca="true" t="shared" si="5" ref="E27:U27">E28</f>
        <v>13700</v>
      </c>
      <c r="F27" s="52">
        <f t="shared" si="5"/>
        <v>0</v>
      </c>
      <c r="G27" s="52">
        <f t="shared" si="5"/>
        <v>53000</v>
      </c>
      <c r="H27" s="52">
        <f t="shared" si="5"/>
        <v>14800</v>
      </c>
      <c r="I27" s="52">
        <f t="shared" si="5"/>
        <v>0</v>
      </c>
      <c r="J27" s="26">
        <f t="shared" si="5"/>
        <v>20100</v>
      </c>
      <c r="K27" s="26">
        <f t="shared" si="5"/>
        <v>32427</v>
      </c>
      <c r="L27" s="26">
        <f t="shared" si="5"/>
        <v>22000</v>
      </c>
      <c r="M27" s="26">
        <f t="shared" si="5"/>
        <v>20100</v>
      </c>
      <c r="N27" s="26">
        <f t="shared" si="5"/>
        <v>29168</v>
      </c>
      <c r="O27" s="26">
        <f t="shared" si="5"/>
        <v>0</v>
      </c>
      <c r="P27" s="26">
        <f t="shared" si="5"/>
        <v>0</v>
      </c>
      <c r="Q27" s="26">
        <f t="shared" si="5"/>
        <v>0</v>
      </c>
      <c r="R27" s="26">
        <f t="shared" si="5"/>
        <v>0</v>
      </c>
      <c r="S27" s="26">
        <f t="shared" si="5"/>
        <v>0</v>
      </c>
      <c r="T27" s="26">
        <f t="shared" si="5"/>
        <v>0</v>
      </c>
      <c r="U27" s="26">
        <f t="shared" si="5"/>
        <v>0</v>
      </c>
      <c r="V27" s="3">
        <v>85214</v>
      </c>
      <c r="W27" s="3"/>
      <c r="X27" s="29" t="s">
        <v>470</v>
      </c>
      <c r="Y27" s="5">
        <f>Y28+Y29</f>
        <v>13700</v>
      </c>
    </row>
    <row r="28" spans="1:25" s="7" customFormat="1" ht="24" customHeight="1">
      <c r="A28" s="293"/>
      <c r="B28" s="319"/>
      <c r="C28" s="325">
        <v>2010</v>
      </c>
      <c r="D28" s="327" t="s">
        <v>482</v>
      </c>
      <c r="E28" s="323">
        <v>13700</v>
      </c>
      <c r="F28" s="50"/>
      <c r="G28" s="50">
        <v>53000</v>
      </c>
      <c r="H28" s="50">
        <v>14800</v>
      </c>
      <c r="I28" s="50"/>
      <c r="J28" s="15">
        <v>20100</v>
      </c>
      <c r="K28" s="15">
        <v>32427</v>
      </c>
      <c r="L28" s="15">
        <v>22000</v>
      </c>
      <c r="M28" s="15">
        <v>20100</v>
      </c>
      <c r="N28" s="15">
        <v>29168</v>
      </c>
      <c r="O28" s="15"/>
      <c r="P28" s="15"/>
      <c r="Q28" s="15"/>
      <c r="R28" s="15"/>
      <c r="S28" s="15"/>
      <c r="T28" s="15"/>
      <c r="U28" s="15"/>
      <c r="V28" s="317"/>
      <c r="W28" s="4">
        <v>3110</v>
      </c>
      <c r="X28" s="8" t="s">
        <v>7</v>
      </c>
      <c r="Y28" s="61">
        <v>10400</v>
      </c>
    </row>
    <row r="29" spans="1:25" s="7" customFormat="1" ht="31.5" customHeight="1">
      <c r="A29" s="295"/>
      <c r="B29" s="320"/>
      <c r="C29" s="326"/>
      <c r="D29" s="328"/>
      <c r="E29" s="324"/>
      <c r="F29" s="50"/>
      <c r="G29" s="50"/>
      <c r="H29" s="50"/>
      <c r="I29" s="50"/>
      <c r="J29" s="15"/>
      <c r="K29" s="15"/>
      <c r="L29" s="15"/>
      <c r="M29" s="15"/>
      <c r="N29" s="15"/>
      <c r="O29" s="15"/>
      <c r="P29" s="15"/>
      <c r="Q29" s="15"/>
      <c r="R29" s="15"/>
      <c r="S29" s="15"/>
      <c r="T29" s="15"/>
      <c r="U29" s="15"/>
      <c r="V29" s="318"/>
      <c r="W29" s="4">
        <v>4110</v>
      </c>
      <c r="X29" s="8" t="s">
        <v>158</v>
      </c>
      <c r="Y29" s="61">
        <v>3300</v>
      </c>
    </row>
    <row r="30" spans="1:25" s="7" customFormat="1" ht="12.75">
      <c r="A30" s="330"/>
      <c r="B30" s="331"/>
      <c r="C30" s="11"/>
      <c r="D30" s="10" t="s">
        <v>431</v>
      </c>
      <c r="E30" s="13">
        <f>E8+E15+E18+E12</f>
        <v>1138053</v>
      </c>
      <c r="F30" s="13" t="e">
        <f>F8+F15+#REF!+F18+#REF!</f>
        <v>#REF!</v>
      </c>
      <c r="G30" s="13" t="e">
        <f>G8+G15+#REF!+G18+#REF!</f>
        <v>#REF!</v>
      </c>
      <c r="H30" s="13" t="e">
        <f>H8+H15+#REF!+H18+#REF!</f>
        <v>#REF!</v>
      </c>
      <c r="I30" s="13" t="e">
        <f>I8+I15+#REF!+I18+#REF!</f>
        <v>#REF!</v>
      </c>
      <c r="J30" s="13" t="e">
        <f>J8+J15+#REF!+J18+#REF!</f>
        <v>#REF!</v>
      </c>
      <c r="K30" s="13" t="e">
        <f>K8+K15+#REF!+K18+#REF!</f>
        <v>#REF!</v>
      </c>
      <c r="L30" s="13" t="e">
        <f>L8+L15+#REF!+L18+#REF!</f>
        <v>#REF!</v>
      </c>
      <c r="M30" s="13" t="e">
        <f>M8+M15+#REF!+M18+#REF!</f>
        <v>#REF!</v>
      </c>
      <c r="N30" s="13" t="e">
        <f>N8+N15+#REF!+N18+#REF!</f>
        <v>#REF!</v>
      </c>
      <c r="O30" s="13" t="e">
        <f>O8+O15+#REF!+O18+#REF!</f>
        <v>#REF!</v>
      </c>
      <c r="P30" s="13" t="e">
        <f>P8+P15+#REF!+P18+#REF!</f>
        <v>#REF!</v>
      </c>
      <c r="Q30" s="13" t="e">
        <f>Q8+Q15+#REF!+Q18+#REF!</f>
        <v>#REF!</v>
      </c>
      <c r="R30" s="13" t="e">
        <f>R8+R15+#REF!+R18+#REF!</f>
        <v>#REF!</v>
      </c>
      <c r="S30" s="13" t="e">
        <f>S8+S15+#REF!+S18+#REF!</f>
        <v>#REF!</v>
      </c>
      <c r="T30" s="13" t="e">
        <f>T8+T15+#REF!+T18+#REF!</f>
        <v>#REF!</v>
      </c>
      <c r="U30" s="13" t="e">
        <f>U8+U15+#REF!+U18+#REF!</f>
        <v>#REF!</v>
      </c>
      <c r="V30" s="332"/>
      <c r="W30" s="333"/>
      <c r="X30" s="152"/>
      <c r="Y30" s="120">
        <f>Y8+Y15+Y18+Y12</f>
        <v>1138053</v>
      </c>
    </row>
    <row r="31" spans="5:25" s="7" customFormat="1" ht="12.75">
      <c r="E31" s="95"/>
      <c r="F31" s="19"/>
      <c r="G31" s="19"/>
      <c r="H31" s="19"/>
      <c r="I31" s="19"/>
      <c r="Y31" s="20"/>
    </row>
    <row r="32" spans="5:25" s="7" customFormat="1" ht="12.75">
      <c r="E32" s="98"/>
      <c r="F32" s="53"/>
      <c r="G32" s="53"/>
      <c r="H32" s="53"/>
      <c r="I32" s="53"/>
      <c r="J32" s="20"/>
      <c r="K32" s="20"/>
      <c r="L32" s="20"/>
      <c r="M32" s="20"/>
      <c r="N32" s="20"/>
      <c r="O32" s="20"/>
      <c r="P32" s="20"/>
      <c r="Q32" s="20"/>
      <c r="R32" s="20"/>
      <c r="S32" s="20"/>
      <c r="T32" s="20"/>
      <c r="U32" s="20"/>
      <c r="V32" s="20"/>
      <c r="Y32" s="20"/>
    </row>
    <row r="33" spans="5:25" s="7" customFormat="1" ht="12.75">
      <c r="E33" s="98"/>
      <c r="F33" s="53"/>
      <c r="G33" s="53"/>
      <c r="H33" s="53"/>
      <c r="I33" s="53"/>
      <c r="J33" s="20"/>
      <c r="K33" s="20"/>
      <c r="L33" s="20"/>
      <c r="M33" s="20"/>
      <c r="N33" s="20"/>
      <c r="O33" s="20"/>
      <c r="P33" s="20"/>
      <c r="Q33" s="20"/>
      <c r="R33" s="20"/>
      <c r="S33" s="20"/>
      <c r="T33" s="20"/>
      <c r="U33" s="20"/>
      <c r="V33" s="20"/>
      <c r="Y33" s="20"/>
    </row>
    <row r="34" spans="5:25" s="7" customFormat="1" ht="12.75">
      <c r="E34" s="95"/>
      <c r="F34" s="19"/>
      <c r="G34" s="19"/>
      <c r="H34" s="19"/>
      <c r="I34" s="19"/>
      <c r="Y34" s="20"/>
    </row>
    <row r="35" spans="5:25" s="7" customFormat="1" ht="12.75">
      <c r="E35" s="95"/>
      <c r="F35" s="19"/>
      <c r="G35" s="19"/>
      <c r="H35" s="19"/>
      <c r="I35" s="19"/>
      <c r="Y35" s="20"/>
    </row>
    <row r="36" spans="5:25" s="7" customFormat="1" ht="12.75">
      <c r="E36" s="95"/>
      <c r="F36" s="19"/>
      <c r="G36" s="19"/>
      <c r="H36" s="19"/>
      <c r="I36" s="19"/>
      <c r="Y36" s="20"/>
    </row>
    <row r="37" spans="5:25" s="7" customFormat="1" ht="12.75">
      <c r="E37" s="95"/>
      <c r="F37" s="19"/>
      <c r="G37" s="19"/>
      <c r="H37" s="19"/>
      <c r="I37" s="19"/>
      <c r="Y37" s="20"/>
    </row>
    <row r="38" spans="5:25" s="7" customFormat="1" ht="12.75">
      <c r="E38" s="95"/>
      <c r="F38" s="19"/>
      <c r="G38" s="19"/>
      <c r="H38" s="19"/>
      <c r="I38" s="19"/>
      <c r="Y38" s="20"/>
    </row>
    <row r="39" ht="12.75">
      <c r="Y39" s="127"/>
    </row>
    <row r="40" ht="12.75">
      <c r="Y40" s="127"/>
    </row>
    <row r="41" ht="12.75">
      <c r="Y41" s="127"/>
    </row>
    <row r="42" ht="12.75">
      <c r="Y42" s="127"/>
    </row>
    <row r="43" ht="12.75">
      <c r="Y43" s="127"/>
    </row>
    <row r="44" ht="12.75">
      <c r="Y44" s="127"/>
    </row>
    <row r="45" ht="12.75">
      <c r="Y45" s="127"/>
    </row>
    <row r="46" ht="12.75">
      <c r="Y46" s="127"/>
    </row>
    <row r="47" ht="12.75">
      <c r="Y47" s="127"/>
    </row>
    <row r="48" ht="12.75">
      <c r="Y48" s="127"/>
    </row>
    <row r="49" ht="12.75">
      <c r="Y49" s="127"/>
    </row>
    <row r="50" ht="12.75">
      <c r="Y50" s="127"/>
    </row>
    <row r="51" ht="12.75">
      <c r="Y51" s="127"/>
    </row>
    <row r="52" ht="12.75">
      <c r="Y52" s="127"/>
    </row>
    <row r="53" ht="12.75">
      <c r="Y53" s="127"/>
    </row>
    <row r="54" ht="12.75">
      <c r="Y54" s="127"/>
    </row>
    <row r="55" ht="12.75">
      <c r="Y55" s="127"/>
    </row>
    <row r="56" ht="12.75">
      <c r="Y56" s="127"/>
    </row>
    <row r="57" ht="12.75">
      <c r="Y57" s="127"/>
    </row>
    <row r="58" ht="12.75">
      <c r="Y58" s="127"/>
    </row>
    <row r="59" ht="12.75">
      <c r="Y59" s="127"/>
    </row>
    <row r="60" ht="12.75">
      <c r="Y60" s="127"/>
    </row>
    <row r="61" ht="12.75">
      <c r="Y61" s="127"/>
    </row>
  </sheetData>
  <mergeCells count="22">
    <mergeCell ref="V10:V11"/>
    <mergeCell ref="C20:C24"/>
    <mergeCell ref="D20:D24"/>
    <mergeCell ref="E20:E24"/>
    <mergeCell ref="V20:V24"/>
    <mergeCell ref="A30:B30"/>
    <mergeCell ref="V30:W30"/>
    <mergeCell ref="A20:B24"/>
    <mergeCell ref="A26:B26"/>
    <mergeCell ref="A28:B29"/>
    <mergeCell ref="C28:C29"/>
    <mergeCell ref="D28:D29"/>
    <mergeCell ref="X1:Y1"/>
    <mergeCell ref="V28:V29"/>
    <mergeCell ref="A10:B11"/>
    <mergeCell ref="A14:B14"/>
    <mergeCell ref="E28:E29"/>
    <mergeCell ref="C10:C11"/>
    <mergeCell ref="D10:D11"/>
    <mergeCell ref="E10:E11"/>
    <mergeCell ref="A3:Y3"/>
    <mergeCell ref="A4:Y4"/>
  </mergeCells>
  <printOptions horizontalCentered="1"/>
  <pageMargins left="0.15748031496062992" right="0.11811023622047245" top="0.14" bottom="0.4724409448818898" header="0.13" footer="0.4724409448818898"/>
  <pageSetup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codeName="Arkusz12"/>
  <dimension ref="A1:L19"/>
  <sheetViews>
    <sheetView workbookViewId="0" topLeftCell="A1">
      <selection activeCell="A1" sqref="A1:H17"/>
    </sheetView>
  </sheetViews>
  <sheetFormatPr defaultColWidth="9.00390625" defaultRowHeight="12.75"/>
  <cols>
    <col min="1" max="1" width="5.25390625" style="0" customWidth="1"/>
    <col min="2" max="2" width="36.125" style="0" customWidth="1"/>
    <col min="3" max="3" width="22.00390625" style="0" customWidth="1"/>
    <col min="4" max="4" width="15.75390625" style="0" hidden="1" customWidth="1"/>
    <col min="5" max="5" width="8.875" style="0" hidden="1" customWidth="1"/>
    <col min="6" max="6" width="11.75390625" style="0" hidden="1" customWidth="1"/>
    <col min="7" max="7" width="17.75390625" style="0" hidden="1" customWidth="1"/>
    <col min="8" max="8" width="25.00390625" style="0" customWidth="1"/>
    <col min="9" max="9" width="14.75390625" style="0" hidden="1" customWidth="1"/>
    <col min="10" max="10" width="10.125" style="0" hidden="1" customWidth="1"/>
    <col min="11" max="11" width="17.75390625" style="0" hidden="1" customWidth="1"/>
    <col min="12" max="12" width="33.125" style="0" hidden="1" customWidth="1"/>
    <col min="13" max="13" width="14.875" style="0" customWidth="1"/>
    <col min="15" max="15" width="19.25390625" style="0" customWidth="1"/>
    <col min="17" max="17" width="12.75390625" style="0" bestFit="1" customWidth="1"/>
    <col min="19" max="19" width="12.00390625" style="0" customWidth="1"/>
  </cols>
  <sheetData>
    <row r="1" spans="3:8" ht="12.75" customHeight="1">
      <c r="C1" s="351" t="s">
        <v>374</v>
      </c>
      <c r="D1" s="351"/>
      <c r="E1" s="351"/>
      <c r="F1" s="351"/>
      <c r="G1" s="351"/>
      <c r="H1" s="351"/>
    </row>
    <row r="2" spans="1:12" ht="20.25">
      <c r="A2" s="69"/>
      <c r="B2" s="104" t="s">
        <v>169</v>
      </c>
      <c r="C2" s="105"/>
      <c r="D2" s="105"/>
      <c r="E2" s="105"/>
      <c r="F2" s="105"/>
      <c r="G2" s="105"/>
      <c r="H2" s="183"/>
      <c r="I2" s="7"/>
      <c r="J2" s="55" t="s">
        <v>239</v>
      </c>
      <c r="K2" s="55"/>
      <c r="L2" s="55"/>
    </row>
    <row r="3" spans="1:12" ht="12.75">
      <c r="A3" s="1"/>
      <c r="B3" s="2"/>
      <c r="C3" s="2"/>
      <c r="D3" s="2"/>
      <c r="E3" s="2"/>
      <c r="F3" s="2"/>
      <c r="G3" s="2"/>
      <c r="H3" s="55"/>
      <c r="I3" s="2"/>
      <c r="J3" s="2"/>
      <c r="K3" s="2"/>
      <c r="L3" s="2"/>
    </row>
    <row r="4" spans="1:12" ht="12.75">
      <c r="A4" s="1"/>
      <c r="B4" s="2"/>
      <c r="C4" s="2"/>
      <c r="D4" s="2"/>
      <c r="E4" s="2"/>
      <c r="F4" s="2"/>
      <c r="G4" s="2"/>
      <c r="H4" s="2"/>
      <c r="I4" s="2"/>
      <c r="J4" s="2"/>
      <c r="K4" s="2"/>
      <c r="L4" s="2"/>
    </row>
    <row r="5" spans="1:12" ht="28.5">
      <c r="A5" s="100" t="s">
        <v>391</v>
      </c>
      <c r="B5" s="100" t="s">
        <v>15</v>
      </c>
      <c r="C5" s="101" t="s">
        <v>16</v>
      </c>
      <c r="D5" s="101" t="s">
        <v>238</v>
      </c>
      <c r="E5" s="101" t="s">
        <v>405</v>
      </c>
      <c r="F5" s="101"/>
      <c r="G5" s="101" t="s">
        <v>124</v>
      </c>
      <c r="H5" s="101" t="s">
        <v>17</v>
      </c>
      <c r="I5" s="101" t="s">
        <v>238</v>
      </c>
      <c r="J5" s="101" t="s">
        <v>405</v>
      </c>
      <c r="K5" s="101" t="s">
        <v>125</v>
      </c>
      <c r="L5" s="101" t="s">
        <v>308</v>
      </c>
    </row>
    <row r="6" spans="1:12" ht="12.75">
      <c r="A6" s="32"/>
      <c r="B6" s="32"/>
      <c r="C6" s="32"/>
      <c r="D6" s="33"/>
      <c r="E6" s="33"/>
      <c r="F6" s="33"/>
      <c r="G6" s="33"/>
      <c r="H6" s="33"/>
      <c r="I6" s="33"/>
      <c r="J6" s="33"/>
      <c r="K6" s="33"/>
      <c r="L6" s="33"/>
    </row>
    <row r="7" spans="1:12" ht="12.75">
      <c r="A7" s="35"/>
      <c r="B7" s="34"/>
      <c r="C7" s="34"/>
      <c r="D7" s="34"/>
      <c r="E7" s="34"/>
      <c r="F7" s="34"/>
      <c r="G7" s="82"/>
      <c r="H7" s="34"/>
      <c r="I7" s="34"/>
      <c r="J7" s="34"/>
      <c r="K7" s="82"/>
      <c r="L7" s="348" t="s">
        <v>430</v>
      </c>
    </row>
    <row r="8" spans="1:12" ht="12.75">
      <c r="A8" s="42">
        <v>957</v>
      </c>
      <c r="B8" s="34" t="s">
        <v>18</v>
      </c>
      <c r="C8" s="36"/>
      <c r="D8" s="36"/>
      <c r="E8" s="36"/>
      <c r="F8" s="36"/>
      <c r="G8" s="83">
        <f>C8+E8+D8</f>
        <v>0</v>
      </c>
      <c r="H8" s="36"/>
      <c r="I8" s="36"/>
      <c r="J8" s="36"/>
      <c r="K8" s="83"/>
      <c r="L8" s="349"/>
    </row>
    <row r="9" spans="1:12" ht="12.75">
      <c r="A9" s="43"/>
      <c r="B9" s="34"/>
      <c r="C9" s="36"/>
      <c r="D9" s="36"/>
      <c r="E9" s="36"/>
      <c r="F9" s="36"/>
      <c r="G9" s="83"/>
      <c r="H9" s="36"/>
      <c r="I9" s="36"/>
      <c r="J9" s="36"/>
      <c r="K9" s="83"/>
      <c r="L9" s="349"/>
    </row>
    <row r="10" spans="1:12" s="239" customFormat="1" ht="25.5">
      <c r="A10" s="3">
        <v>952</v>
      </c>
      <c r="B10" s="8" t="s">
        <v>121</v>
      </c>
      <c r="C10" s="9">
        <v>3100000</v>
      </c>
      <c r="D10" s="9">
        <v>0</v>
      </c>
      <c r="E10" s="9">
        <f>D10*100/C10</f>
        <v>0</v>
      </c>
      <c r="F10" s="48"/>
      <c r="G10" s="107">
        <f>C10+E10+D10+F10</f>
        <v>3100000</v>
      </c>
      <c r="H10" s="9"/>
      <c r="I10" s="9"/>
      <c r="J10" s="9"/>
      <c r="K10" s="107"/>
      <c r="L10" s="349"/>
    </row>
    <row r="11" spans="1:12" s="239" customFormat="1" ht="12.75">
      <c r="A11" s="3"/>
      <c r="B11" s="8"/>
      <c r="C11" s="9"/>
      <c r="D11" s="9"/>
      <c r="E11" s="9"/>
      <c r="F11" s="220"/>
      <c r="G11" s="107"/>
      <c r="H11" s="9"/>
      <c r="I11" s="9"/>
      <c r="J11" s="9"/>
      <c r="K11" s="107"/>
      <c r="L11" s="350"/>
    </row>
    <row r="12" spans="1:12" s="239" customFormat="1" ht="25.5">
      <c r="A12" s="28">
        <v>992</v>
      </c>
      <c r="B12" s="8" t="s">
        <v>44</v>
      </c>
      <c r="C12" s="9"/>
      <c r="D12" s="9"/>
      <c r="E12" s="9"/>
      <c r="F12" s="220"/>
      <c r="G12" s="107"/>
      <c r="H12" s="9">
        <v>407625</v>
      </c>
      <c r="I12" s="9"/>
      <c r="J12" s="9">
        <f>I12*100/H12</f>
        <v>0</v>
      </c>
      <c r="K12" s="107">
        <f>H12+I12+J12</f>
        <v>407625</v>
      </c>
      <c r="L12" s="348" t="s">
        <v>66</v>
      </c>
    </row>
    <row r="13" spans="1:12" s="239" customFormat="1" ht="12.75">
      <c r="A13" s="4"/>
      <c r="B13" s="8"/>
      <c r="C13" s="9"/>
      <c r="D13" s="9"/>
      <c r="E13" s="9"/>
      <c r="F13" s="220"/>
      <c r="G13" s="107"/>
      <c r="H13" s="9"/>
      <c r="I13" s="9"/>
      <c r="J13" s="9"/>
      <c r="K13" s="107"/>
      <c r="L13" s="349"/>
    </row>
    <row r="14" spans="1:12" s="239" customFormat="1" ht="12.75">
      <c r="A14" s="4"/>
      <c r="B14" s="8"/>
      <c r="C14" s="9"/>
      <c r="D14" s="9"/>
      <c r="E14" s="9"/>
      <c r="F14" s="220"/>
      <c r="G14" s="107"/>
      <c r="H14" s="9"/>
      <c r="I14" s="9"/>
      <c r="J14" s="9"/>
      <c r="K14" s="107"/>
      <c r="L14" s="350"/>
    </row>
    <row r="15" spans="1:12" ht="12.75">
      <c r="A15" s="38"/>
      <c r="B15" s="37"/>
      <c r="C15" s="37"/>
      <c r="D15" s="37"/>
      <c r="E15" s="37"/>
      <c r="F15" s="80"/>
      <c r="G15" s="37"/>
      <c r="H15" s="37"/>
      <c r="I15" s="37"/>
      <c r="J15" s="37"/>
      <c r="K15" s="37"/>
      <c r="L15" s="80"/>
    </row>
    <row r="16" spans="1:12" ht="15.75">
      <c r="A16" s="84"/>
      <c r="B16" s="85"/>
      <c r="C16" s="86">
        <f aca="true" t="shared" si="0" ref="C16:K16">SUM(C8:C14)</f>
        <v>3100000</v>
      </c>
      <c r="D16" s="86">
        <f>SUM(D8:D14)</f>
        <v>0</v>
      </c>
      <c r="E16" s="86">
        <f>SUM(E8:E14)</f>
        <v>0</v>
      </c>
      <c r="F16" s="169">
        <f t="shared" si="0"/>
        <v>0</v>
      </c>
      <c r="G16" s="86">
        <f t="shared" si="0"/>
        <v>3100000</v>
      </c>
      <c r="H16" s="86">
        <f t="shared" si="0"/>
        <v>407625</v>
      </c>
      <c r="I16" s="86">
        <f t="shared" si="0"/>
        <v>0</v>
      </c>
      <c r="J16" s="86">
        <f t="shared" si="0"/>
        <v>0</v>
      </c>
      <c r="K16" s="86">
        <f t="shared" si="0"/>
        <v>407625</v>
      </c>
      <c r="L16" s="85"/>
    </row>
    <row r="17" spans="1:12" ht="12.75">
      <c r="A17" s="40"/>
      <c r="B17" s="39"/>
      <c r="C17" s="39"/>
      <c r="D17" s="81"/>
      <c r="E17" s="81"/>
      <c r="F17" s="39"/>
      <c r="G17" s="39"/>
      <c r="H17" s="39"/>
      <c r="I17" s="81"/>
      <c r="J17" s="81"/>
      <c r="K17" s="39"/>
      <c r="L17" s="81"/>
    </row>
    <row r="19" ht="12.75">
      <c r="B19" s="219"/>
    </row>
  </sheetData>
  <mergeCells count="3">
    <mergeCell ref="L7:L11"/>
    <mergeCell ref="L12:L14"/>
    <mergeCell ref="C1:H1"/>
  </mergeCells>
  <printOptions horizontalCentered="1"/>
  <pageMargins left="0.46" right="0.08" top="0.42" bottom="0.984251968503937" header="0.2" footer="0.5118110236220472"/>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dimension ref="B2:I161"/>
  <sheetViews>
    <sheetView workbookViewId="0" topLeftCell="B1">
      <selection activeCell="I2" sqref="I2"/>
    </sheetView>
  </sheetViews>
  <sheetFormatPr defaultColWidth="9.00390625" defaultRowHeight="12.75"/>
  <cols>
    <col min="1" max="1" width="1.37890625" style="0" customWidth="1"/>
    <col min="7" max="7" width="8.125" style="0" customWidth="1"/>
    <col min="8" max="8" width="12.125" style="0" customWidth="1"/>
    <col min="9" max="9" width="25.125" style="0" customWidth="1"/>
  </cols>
  <sheetData>
    <row r="2" ht="18">
      <c r="I2" s="280"/>
    </row>
    <row r="4" spans="2:9" ht="15">
      <c r="B4" s="155" t="s">
        <v>152</v>
      </c>
      <c r="C4" s="156"/>
      <c r="D4" s="156"/>
      <c r="E4" s="156"/>
      <c r="F4" s="156"/>
      <c r="G4" s="156"/>
      <c r="H4" s="156"/>
      <c r="I4" s="156"/>
    </row>
    <row r="5" spans="2:9" ht="15">
      <c r="B5" s="156"/>
      <c r="C5" s="156"/>
      <c r="D5" s="156"/>
      <c r="E5" s="156"/>
      <c r="F5" s="156"/>
      <c r="G5" s="156"/>
      <c r="H5" s="156"/>
      <c r="I5" s="156"/>
    </row>
    <row r="6" spans="2:9" ht="15">
      <c r="B6" s="156" t="s">
        <v>224</v>
      </c>
      <c r="C6" s="156"/>
      <c r="D6" s="156"/>
      <c r="E6" s="156"/>
      <c r="F6" s="156"/>
      <c r="G6" s="157"/>
      <c r="H6" s="156"/>
      <c r="I6" s="158">
        <v>1255722</v>
      </c>
    </row>
    <row r="7" spans="2:9" ht="15">
      <c r="B7" s="156" t="s">
        <v>309</v>
      </c>
      <c r="C7" s="156"/>
      <c r="D7" s="156"/>
      <c r="E7" s="156"/>
      <c r="F7" s="156"/>
      <c r="G7" s="156"/>
      <c r="H7" s="156"/>
      <c r="I7" s="158">
        <v>3100000</v>
      </c>
    </row>
    <row r="8" spans="2:9" ht="15">
      <c r="B8" s="156" t="s">
        <v>311</v>
      </c>
      <c r="C8" s="156"/>
      <c r="D8" s="156"/>
      <c r="E8" s="156"/>
      <c r="F8" s="159"/>
      <c r="G8" s="156"/>
      <c r="H8" s="156"/>
      <c r="I8" s="160">
        <f>I9+I10</f>
        <v>624849</v>
      </c>
    </row>
    <row r="9" spans="2:9" ht="15">
      <c r="B9" s="156"/>
      <c r="C9" s="156"/>
      <c r="D9" s="156"/>
      <c r="E9" s="156"/>
      <c r="F9" s="161" t="s">
        <v>312</v>
      </c>
      <c r="G9" s="162" t="s">
        <v>313</v>
      </c>
      <c r="H9" s="156"/>
      <c r="I9" s="158">
        <v>407625</v>
      </c>
    </row>
    <row r="10" spans="2:9" ht="15">
      <c r="B10" s="156"/>
      <c r="C10" s="156"/>
      <c r="D10" s="156"/>
      <c r="E10" s="156"/>
      <c r="F10" s="161" t="s">
        <v>314</v>
      </c>
      <c r="G10" s="162" t="s">
        <v>315</v>
      </c>
      <c r="H10" s="156"/>
      <c r="I10" s="158">
        <v>217224</v>
      </c>
    </row>
    <row r="11" spans="2:9" ht="15">
      <c r="B11" s="156" t="s">
        <v>320</v>
      </c>
      <c r="C11" s="156"/>
      <c r="D11" s="156"/>
      <c r="E11" s="156"/>
      <c r="F11" s="156"/>
      <c r="G11" s="156"/>
      <c r="H11" s="156"/>
      <c r="I11" s="158">
        <f>I6+I7-I9</f>
        <v>3948097</v>
      </c>
    </row>
    <row r="12" spans="2:9" ht="15">
      <c r="B12" s="156" t="s">
        <v>321</v>
      </c>
      <c r="C12" s="156"/>
      <c r="D12" s="156"/>
      <c r="E12" s="156"/>
      <c r="F12" s="156"/>
      <c r="G12" s="156"/>
      <c r="H12" s="156"/>
      <c r="I12" s="158">
        <v>18016490</v>
      </c>
    </row>
    <row r="13" spans="2:9" ht="15">
      <c r="B13" s="156" t="s">
        <v>316</v>
      </c>
      <c r="C13" s="156"/>
      <c r="D13" s="156"/>
      <c r="E13" s="156"/>
      <c r="F13" s="156"/>
      <c r="G13" s="156"/>
      <c r="H13" s="156"/>
      <c r="I13" s="158"/>
    </row>
    <row r="14" spans="2:9" ht="15">
      <c r="B14" s="156" t="s">
        <v>322</v>
      </c>
      <c r="C14" s="156"/>
      <c r="D14" s="156"/>
      <c r="E14" s="156"/>
      <c r="F14" s="156"/>
      <c r="G14" s="156"/>
      <c r="H14" s="156"/>
      <c r="I14" s="163">
        <f>I8/I12</f>
        <v>0.034682060712158694</v>
      </c>
    </row>
    <row r="15" spans="2:9" ht="15">
      <c r="B15" s="156" t="s">
        <v>317</v>
      </c>
      <c r="C15" s="156"/>
      <c r="D15" s="156"/>
      <c r="E15" s="156"/>
      <c r="F15" s="156"/>
      <c r="G15" s="156"/>
      <c r="H15" s="156"/>
      <c r="I15" s="158"/>
    </row>
    <row r="16" spans="2:9" ht="15">
      <c r="B16" s="156" t="s">
        <v>318</v>
      </c>
      <c r="C16" s="156"/>
      <c r="D16" s="156"/>
      <c r="E16" s="156"/>
      <c r="F16" s="156"/>
      <c r="G16" s="156"/>
      <c r="H16" s="156"/>
      <c r="I16" s="163">
        <f>I11/I12</f>
        <v>0.21913796749533343</v>
      </c>
    </row>
    <row r="17" spans="2:9" ht="15">
      <c r="B17" s="156"/>
      <c r="C17" s="156"/>
      <c r="D17" s="156"/>
      <c r="E17" s="156"/>
      <c r="F17" s="156"/>
      <c r="G17" s="156"/>
      <c r="H17" s="156"/>
      <c r="I17" s="158"/>
    </row>
    <row r="18" spans="2:9" ht="15">
      <c r="B18" s="155" t="s">
        <v>323</v>
      </c>
      <c r="C18" s="156"/>
      <c r="D18" s="156"/>
      <c r="E18" s="156"/>
      <c r="F18" s="156"/>
      <c r="G18" s="156"/>
      <c r="H18" s="156"/>
      <c r="I18" s="156"/>
    </row>
    <row r="19" spans="2:9" ht="15">
      <c r="B19" s="156"/>
      <c r="C19" s="156"/>
      <c r="D19" s="156"/>
      <c r="E19" s="156"/>
      <c r="F19" s="156"/>
      <c r="G19" s="156"/>
      <c r="H19" s="156"/>
      <c r="I19" s="156"/>
    </row>
    <row r="20" spans="2:9" ht="15">
      <c r="B20" s="156" t="s">
        <v>319</v>
      </c>
      <c r="C20" s="156"/>
      <c r="D20" s="156"/>
      <c r="E20" s="156"/>
      <c r="F20" s="156"/>
      <c r="G20" s="156"/>
      <c r="H20" s="157"/>
      <c r="I20" s="158">
        <f>I11</f>
        <v>3948097</v>
      </c>
    </row>
    <row r="21" spans="2:9" ht="15">
      <c r="B21" s="156" t="s">
        <v>309</v>
      </c>
      <c r="C21" s="156"/>
      <c r="D21" s="156"/>
      <c r="E21" s="156"/>
      <c r="F21" s="156"/>
      <c r="G21" s="156"/>
      <c r="H21" s="156"/>
      <c r="I21" s="170"/>
    </row>
    <row r="22" spans="2:9" ht="15">
      <c r="B22" s="156" t="s">
        <v>311</v>
      </c>
      <c r="C22" s="156"/>
      <c r="D22" s="156"/>
      <c r="E22" s="156"/>
      <c r="F22" s="156"/>
      <c r="G22" s="156"/>
      <c r="H22" s="156"/>
      <c r="I22" s="160">
        <f>I23+I24</f>
        <v>732474</v>
      </c>
    </row>
    <row r="23" spans="2:9" ht="15">
      <c r="B23" s="156"/>
      <c r="C23" s="156"/>
      <c r="D23" s="156"/>
      <c r="E23" s="156"/>
      <c r="F23" s="161" t="s">
        <v>312</v>
      </c>
      <c r="G23" s="162" t="s">
        <v>313</v>
      </c>
      <c r="H23" s="156"/>
      <c r="I23" s="158">
        <f>124565+310000</f>
        <v>434565</v>
      </c>
    </row>
    <row r="24" spans="2:9" ht="15">
      <c r="B24" s="156"/>
      <c r="C24" s="156"/>
      <c r="D24" s="156"/>
      <c r="E24" s="156"/>
      <c r="F24" s="161" t="s">
        <v>314</v>
      </c>
      <c r="G24" s="162" t="s">
        <v>315</v>
      </c>
      <c r="H24" s="156"/>
      <c r="I24" s="158">
        <f>147909+150000</f>
        <v>297909</v>
      </c>
    </row>
    <row r="25" spans="2:9" ht="15">
      <c r="B25" s="156" t="s">
        <v>324</v>
      </c>
      <c r="C25" s="156"/>
      <c r="D25" s="156"/>
      <c r="E25" s="156"/>
      <c r="F25" s="156"/>
      <c r="G25" s="156"/>
      <c r="H25" s="156"/>
      <c r="I25" s="158">
        <f>I20+I21-I23</f>
        <v>3513532</v>
      </c>
    </row>
    <row r="26" spans="2:9" ht="15">
      <c r="B26" s="156" t="s">
        <v>325</v>
      </c>
      <c r="C26" s="156"/>
      <c r="D26" s="156"/>
      <c r="E26" s="156"/>
      <c r="F26" s="156"/>
      <c r="G26" s="156"/>
      <c r="H26" s="156"/>
      <c r="I26" s="158">
        <v>13500000</v>
      </c>
    </row>
    <row r="27" spans="2:9" ht="15">
      <c r="B27" s="156" t="s">
        <v>316</v>
      </c>
      <c r="C27" s="156"/>
      <c r="D27" s="156"/>
      <c r="E27" s="156"/>
      <c r="F27" s="156"/>
      <c r="G27" s="156"/>
      <c r="H27" s="156"/>
      <c r="I27" s="158"/>
    </row>
    <row r="28" spans="2:9" ht="15">
      <c r="B28" s="156" t="s">
        <v>326</v>
      </c>
      <c r="C28" s="156"/>
      <c r="D28" s="156"/>
      <c r="E28" s="156"/>
      <c r="F28" s="156"/>
      <c r="G28" s="156"/>
      <c r="H28" s="156"/>
      <c r="I28" s="163">
        <f>I22/I26</f>
        <v>0.05425733333333333</v>
      </c>
    </row>
    <row r="29" spans="2:9" ht="15">
      <c r="B29" s="156" t="s">
        <v>317</v>
      </c>
      <c r="C29" s="156"/>
      <c r="D29" s="156"/>
      <c r="E29" s="156"/>
      <c r="F29" s="156"/>
      <c r="G29" s="156"/>
      <c r="H29" s="156"/>
      <c r="I29" s="158"/>
    </row>
    <row r="30" spans="2:9" ht="15">
      <c r="B30" s="156" t="s">
        <v>318</v>
      </c>
      <c r="C30" s="156"/>
      <c r="D30" s="156"/>
      <c r="E30" s="156"/>
      <c r="F30" s="156"/>
      <c r="G30" s="156"/>
      <c r="H30" s="156"/>
      <c r="I30" s="163">
        <f>I25/I26</f>
        <v>0.2602616296296296</v>
      </c>
    </row>
    <row r="31" spans="2:9" ht="15">
      <c r="B31" s="156"/>
      <c r="C31" s="156"/>
      <c r="D31" s="156"/>
      <c r="E31" s="156"/>
      <c r="F31" s="156"/>
      <c r="G31" s="156"/>
      <c r="H31" s="156"/>
      <c r="I31" s="156"/>
    </row>
    <row r="32" spans="2:9" ht="15">
      <c r="B32" s="155" t="s">
        <v>67</v>
      </c>
      <c r="C32" s="156"/>
      <c r="D32" s="156"/>
      <c r="E32" s="156"/>
      <c r="F32" s="156"/>
      <c r="G32" s="156"/>
      <c r="H32" s="156"/>
      <c r="I32" s="156"/>
    </row>
    <row r="33" spans="2:9" ht="15">
      <c r="B33" s="156"/>
      <c r="C33" s="156"/>
      <c r="D33" s="156"/>
      <c r="E33" s="156"/>
      <c r="F33" s="156"/>
      <c r="G33" s="156"/>
      <c r="H33" s="156"/>
      <c r="I33" s="156"/>
    </row>
    <row r="34" spans="2:9" ht="15">
      <c r="B34" s="156" t="s">
        <v>319</v>
      </c>
      <c r="C34" s="156"/>
      <c r="D34" s="156"/>
      <c r="E34" s="156"/>
      <c r="F34" s="156"/>
      <c r="G34" s="156"/>
      <c r="H34" s="157"/>
      <c r="I34" s="158">
        <f>I25</f>
        <v>3513532</v>
      </c>
    </row>
    <row r="35" spans="2:9" ht="15">
      <c r="B35" s="156" t="s">
        <v>309</v>
      </c>
      <c r="C35" s="156"/>
      <c r="D35" s="156"/>
      <c r="E35" s="156"/>
      <c r="F35" s="156"/>
      <c r="G35" s="156"/>
      <c r="H35" s="156"/>
      <c r="I35" s="158">
        <v>0</v>
      </c>
    </row>
    <row r="36" spans="2:9" ht="15">
      <c r="B36" s="156" t="s">
        <v>311</v>
      </c>
      <c r="C36" s="156"/>
      <c r="D36" s="156"/>
      <c r="E36" s="156"/>
      <c r="F36" s="156"/>
      <c r="G36" s="156"/>
      <c r="H36" s="156"/>
      <c r="I36" s="160">
        <f>I37+I38</f>
        <v>739844</v>
      </c>
    </row>
    <row r="37" spans="2:9" ht="15">
      <c r="B37" s="156"/>
      <c r="C37" s="156"/>
      <c r="D37" s="156"/>
      <c r="E37" s="156"/>
      <c r="F37" s="161" t="s">
        <v>312</v>
      </c>
      <c r="G37" s="162" t="s">
        <v>313</v>
      </c>
      <c r="H37" s="156"/>
      <c r="I37" s="158">
        <f>133790+310000</f>
        <v>443790</v>
      </c>
    </row>
    <row r="38" spans="2:9" ht="15">
      <c r="B38" s="156"/>
      <c r="C38" s="156"/>
      <c r="D38" s="156"/>
      <c r="E38" s="156"/>
      <c r="F38" s="161" t="s">
        <v>314</v>
      </c>
      <c r="G38" s="162" t="s">
        <v>315</v>
      </c>
      <c r="H38" s="156"/>
      <c r="I38" s="158">
        <f>141054+155000</f>
        <v>296054</v>
      </c>
    </row>
    <row r="39" spans="2:9" ht="15">
      <c r="B39" s="156" t="s">
        <v>91</v>
      </c>
      <c r="C39" s="156"/>
      <c r="D39" s="156"/>
      <c r="E39" s="156"/>
      <c r="F39" s="156"/>
      <c r="G39" s="156"/>
      <c r="H39" s="156"/>
      <c r="I39" s="158">
        <f>I34+I35-I37</f>
        <v>3069742</v>
      </c>
    </row>
    <row r="40" spans="2:9" ht="15">
      <c r="B40" s="156" t="s">
        <v>94</v>
      </c>
      <c r="C40" s="156"/>
      <c r="D40" s="156"/>
      <c r="E40" s="156"/>
      <c r="F40" s="156"/>
      <c r="G40" s="156"/>
      <c r="H40" s="156"/>
      <c r="I40" s="158">
        <v>13500000</v>
      </c>
    </row>
    <row r="41" spans="2:9" ht="15">
      <c r="B41" s="156" t="s">
        <v>316</v>
      </c>
      <c r="C41" s="156"/>
      <c r="D41" s="156"/>
      <c r="E41" s="156"/>
      <c r="F41" s="156"/>
      <c r="G41" s="156"/>
      <c r="H41" s="156"/>
      <c r="I41" s="158"/>
    </row>
    <row r="42" spans="2:9" ht="15">
      <c r="B42" s="156" t="s">
        <v>92</v>
      </c>
      <c r="C42" s="156"/>
      <c r="D42" s="156"/>
      <c r="E42" s="156"/>
      <c r="F42" s="156"/>
      <c r="G42" s="156"/>
      <c r="H42" s="156"/>
      <c r="I42" s="163">
        <f>I36/I40</f>
        <v>0.05480325925925926</v>
      </c>
    </row>
    <row r="43" spans="2:9" ht="15">
      <c r="B43" s="156" t="s">
        <v>317</v>
      </c>
      <c r="C43" s="156"/>
      <c r="D43" s="156"/>
      <c r="E43" s="156"/>
      <c r="F43" s="156"/>
      <c r="G43" s="156"/>
      <c r="H43" s="156"/>
      <c r="I43" s="158"/>
    </row>
    <row r="44" spans="2:9" ht="15">
      <c r="B44" s="156" t="s">
        <v>318</v>
      </c>
      <c r="C44" s="156"/>
      <c r="D44" s="156"/>
      <c r="E44" s="156"/>
      <c r="F44" s="156"/>
      <c r="G44" s="156"/>
      <c r="H44" s="156"/>
      <c r="I44" s="163">
        <f>I39/I40</f>
        <v>0.22738829629629628</v>
      </c>
    </row>
    <row r="45" spans="2:9" ht="15">
      <c r="B45" s="156"/>
      <c r="C45" s="156"/>
      <c r="D45" s="156"/>
      <c r="E45" s="156"/>
      <c r="F45" s="156"/>
      <c r="G45" s="156"/>
      <c r="H45" s="156"/>
      <c r="I45" s="156"/>
    </row>
    <row r="46" spans="2:9" ht="15">
      <c r="B46" s="155" t="s">
        <v>68</v>
      </c>
      <c r="C46" s="156"/>
      <c r="D46" s="156"/>
      <c r="E46" s="156"/>
      <c r="F46" s="156"/>
      <c r="G46" s="156"/>
      <c r="H46" s="156"/>
      <c r="I46" s="156"/>
    </row>
    <row r="47" spans="2:9" ht="15">
      <c r="B47" s="156"/>
      <c r="C47" s="156"/>
      <c r="D47" s="156"/>
      <c r="E47" s="156"/>
      <c r="F47" s="156"/>
      <c r="G47" s="156"/>
      <c r="H47" s="156"/>
      <c r="I47" s="156"/>
    </row>
    <row r="48" spans="2:9" ht="15">
      <c r="B48" s="156" t="s">
        <v>319</v>
      </c>
      <c r="C48" s="156"/>
      <c r="D48" s="156"/>
      <c r="E48" s="156"/>
      <c r="F48" s="156"/>
      <c r="G48" s="156"/>
      <c r="H48" s="157"/>
      <c r="I48" s="158">
        <f>I39</f>
        <v>3069742</v>
      </c>
    </row>
    <row r="49" spans="2:9" ht="15">
      <c r="B49" s="156" t="s">
        <v>309</v>
      </c>
      <c r="C49" s="156"/>
      <c r="D49" s="156"/>
      <c r="E49" s="156"/>
      <c r="F49" s="156"/>
      <c r="G49" s="156"/>
      <c r="H49" s="156"/>
      <c r="I49" s="158">
        <v>0</v>
      </c>
    </row>
    <row r="50" spans="2:9" ht="15">
      <c r="B50" s="156" t="s">
        <v>311</v>
      </c>
      <c r="C50" s="156"/>
      <c r="D50" s="156"/>
      <c r="E50" s="156"/>
      <c r="F50" s="156"/>
      <c r="G50" s="156"/>
      <c r="H50" s="156"/>
      <c r="I50" s="160">
        <f>I51+I52</f>
        <v>696314</v>
      </c>
    </row>
    <row r="51" spans="2:9" ht="15">
      <c r="B51" s="156"/>
      <c r="C51" s="156"/>
      <c r="D51" s="156"/>
      <c r="E51" s="156"/>
      <c r="F51" s="161" t="s">
        <v>312</v>
      </c>
      <c r="G51" s="162" t="s">
        <v>313</v>
      </c>
      <c r="H51" s="156"/>
      <c r="I51" s="158">
        <f>102565+310000</f>
        <v>412565</v>
      </c>
    </row>
    <row r="52" spans="2:9" ht="15">
      <c r="B52" s="156"/>
      <c r="C52" s="156"/>
      <c r="D52" s="156"/>
      <c r="E52" s="156"/>
      <c r="F52" s="161" t="s">
        <v>314</v>
      </c>
      <c r="G52" s="162" t="s">
        <v>315</v>
      </c>
      <c r="H52" s="156"/>
      <c r="I52" s="158">
        <f>133749+150000</f>
        <v>283749</v>
      </c>
    </row>
    <row r="53" spans="2:9" ht="15">
      <c r="B53" s="156" t="s">
        <v>93</v>
      </c>
      <c r="C53" s="156"/>
      <c r="D53" s="156"/>
      <c r="E53" s="156"/>
      <c r="F53" s="156"/>
      <c r="G53" s="156"/>
      <c r="H53" s="156"/>
      <c r="I53" s="158">
        <f>I48+I49-I51</f>
        <v>2657177</v>
      </c>
    </row>
    <row r="54" spans="2:9" ht="15">
      <c r="B54" s="156" t="s">
        <v>95</v>
      </c>
      <c r="C54" s="156"/>
      <c r="D54" s="156"/>
      <c r="E54" s="156"/>
      <c r="F54" s="156"/>
      <c r="G54" s="156"/>
      <c r="H54" s="156"/>
      <c r="I54" s="158">
        <v>13500000</v>
      </c>
    </row>
    <row r="55" spans="2:9" ht="15">
      <c r="B55" s="156" t="s">
        <v>316</v>
      </c>
      <c r="C55" s="156"/>
      <c r="D55" s="156"/>
      <c r="E55" s="156"/>
      <c r="F55" s="156"/>
      <c r="G55" s="156"/>
      <c r="H55" s="156"/>
      <c r="I55" s="158"/>
    </row>
    <row r="56" spans="2:9" ht="15">
      <c r="B56" s="156" t="s">
        <v>100</v>
      </c>
      <c r="C56" s="156"/>
      <c r="D56" s="156"/>
      <c r="E56" s="156"/>
      <c r="F56" s="156"/>
      <c r="G56" s="156"/>
      <c r="H56" s="156"/>
      <c r="I56" s="163">
        <f>I50/I54</f>
        <v>0.05157881481481481</v>
      </c>
    </row>
    <row r="57" spans="2:9" ht="15">
      <c r="B57" s="156" t="s">
        <v>317</v>
      </c>
      <c r="C57" s="156"/>
      <c r="D57" s="156"/>
      <c r="E57" s="156"/>
      <c r="F57" s="156"/>
      <c r="G57" s="156"/>
      <c r="H57" s="156"/>
      <c r="I57" s="158"/>
    </row>
    <row r="58" spans="2:9" ht="15">
      <c r="B58" s="156" t="s">
        <v>318</v>
      </c>
      <c r="C58" s="156"/>
      <c r="D58" s="156"/>
      <c r="E58" s="156"/>
      <c r="F58" s="156"/>
      <c r="G58" s="156"/>
      <c r="H58" s="156"/>
      <c r="I58" s="163">
        <f>I53/I54</f>
        <v>0.19682792592592593</v>
      </c>
    </row>
    <row r="59" spans="2:9" ht="15">
      <c r="B59" s="156"/>
      <c r="C59" s="156"/>
      <c r="D59" s="156"/>
      <c r="E59" s="156"/>
      <c r="F59" s="156"/>
      <c r="G59" s="156"/>
      <c r="H59" s="156"/>
      <c r="I59" s="156"/>
    </row>
    <row r="60" spans="2:9" ht="15">
      <c r="B60" s="155" t="s">
        <v>69</v>
      </c>
      <c r="C60" s="156"/>
      <c r="D60" s="156"/>
      <c r="E60" s="156"/>
      <c r="F60" s="156"/>
      <c r="G60" s="156"/>
      <c r="H60" s="156"/>
      <c r="I60" s="156"/>
    </row>
    <row r="61" spans="2:9" ht="15">
      <c r="B61" s="156"/>
      <c r="C61" s="156"/>
      <c r="D61" s="156"/>
      <c r="E61" s="156"/>
      <c r="F61" s="156"/>
      <c r="G61" s="156"/>
      <c r="H61" s="156"/>
      <c r="I61" s="156"/>
    </row>
    <row r="62" spans="2:9" ht="15">
      <c r="B62" s="156" t="s">
        <v>319</v>
      </c>
      <c r="C62" s="156"/>
      <c r="D62" s="156"/>
      <c r="E62" s="156"/>
      <c r="F62" s="156"/>
      <c r="G62" s="156"/>
      <c r="H62" s="157"/>
      <c r="I62" s="158">
        <f>I53</f>
        <v>2657177</v>
      </c>
    </row>
    <row r="63" spans="2:9" ht="15">
      <c r="B63" s="156" t="s">
        <v>309</v>
      </c>
      <c r="C63" s="156"/>
      <c r="D63" s="156"/>
      <c r="E63" s="156"/>
      <c r="F63" s="156"/>
      <c r="G63" s="156"/>
      <c r="H63" s="156"/>
      <c r="I63" s="158">
        <v>0</v>
      </c>
    </row>
    <row r="64" spans="2:9" ht="15">
      <c r="B64" s="156" t="s">
        <v>311</v>
      </c>
      <c r="C64" s="156"/>
      <c r="D64" s="156"/>
      <c r="E64" s="156"/>
      <c r="F64" s="156"/>
      <c r="G64" s="156"/>
      <c r="H64" s="156"/>
      <c r="I64" s="160">
        <f>I65+I66</f>
        <v>685108</v>
      </c>
    </row>
    <row r="65" spans="2:9" ht="15">
      <c r="B65" s="156"/>
      <c r="C65" s="156"/>
      <c r="D65" s="156"/>
      <c r="E65" s="156"/>
      <c r="F65" s="161" t="s">
        <v>312</v>
      </c>
      <c r="G65" s="162" t="s">
        <v>313</v>
      </c>
      <c r="H65" s="156"/>
      <c r="I65" s="158">
        <f>102564+310000</f>
        <v>412564</v>
      </c>
    </row>
    <row r="66" spans="2:9" ht="15">
      <c r="B66" s="156"/>
      <c r="C66" s="156"/>
      <c r="D66" s="156"/>
      <c r="E66" s="156"/>
      <c r="F66" s="161" t="s">
        <v>314</v>
      </c>
      <c r="G66" s="162" t="s">
        <v>315</v>
      </c>
      <c r="H66" s="156"/>
      <c r="I66" s="158">
        <f>127544+145000</f>
        <v>272544</v>
      </c>
    </row>
    <row r="67" spans="2:9" ht="15">
      <c r="B67" s="156" t="s">
        <v>101</v>
      </c>
      <c r="C67" s="156"/>
      <c r="D67" s="156"/>
      <c r="E67" s="156"/>
      <c r="F67" s="156"/>
      <c r="G67" s="156"/>
      <c r="H67" s="156"/>
      <c r="I67" s="158">
        <f>I62+I63-I65</f>
        <v>2244613</v>
      </c>
    </row>
    <row r="68" spans="2:9" ht="15">
      <c r="B68" s="156" t="s">
        <v>102</v>
      </c>
      <c r="C68" s="156"/>
      <c r="D68" s="156"/>
      <c r="E68" s="156"/>
      <c r="F68" s="156"/>
      <c r="G68" s="156"/>
      <c r="H68" s="156"/>
      <c r="I68" s="158">
        <v>13500000</v>
      </c>
    </row>
    <row r="69" spans="2:9" ht="15">
      <c r="B69" s="156" t="s">
        <v>316</v>
      </c>
      <c r="C69" s="156"/>
      <c r="D69" s="156"/>
      <c r="E69" s="156"/>
      <c r="F69" s="156"/>
      <c r="G69" s="156"/>
      <c r="H69" s="156"/>
      <c r="I69" s="158"/>
    </row>
    <row r="70" spans="2:9" ht="15">
      <c r="B70" s="156" t="s">
        <v>103</v>
      </c>
      <c r="C70" s="156"/>
      <c r="D70" s="156"/>
      <c r="E70" s="156"/>
      <c r="F70" s="156"/>
      <c r="G70" s="156"/>
      <c r="H70" s="156"/>
      <c r="I70" s="163">
        <f>I64/I68</f>
        <v>0.05074874074074074</v>
      </c>
    </row>
    <row r="71" spans="2:9" ht="15">
      <c r="B71" s="156" t="s">
        <v>317</v>
      </c>
      <c r="C71" s="156"/>
      <c r="D71" s="156"/>
      <c r="E71" s="156"/>
      <c r="F71" s="156"/>
      <c r="G71" s="156"/>
      <c r="H71" s="156"/>
      <c r="I71" s="158"/>
    </row>
    <row r="72" spans="2:9" ht="15">
      <c r="B72" s="156" t="s">
        <v>318</v>
      </c>
      <c r="C72" s="156"/>
      <c r="D72" s="156"/>
      <c r="E72" s="156"/>
      <c r="F72" s="156"/>
      <c r="G72" s="156"/>
      <c r="H72" s="156"/>
      <c r="I72" s="163">
        <f>I67/I68</f>
        <v>0.16626762962962963</v>
      </c>
    </row>
    <row r="73" spans="2:9" ht="15">
      <c r="B73" s="156"/>
      <c r="C73" s="156"/>
      <c r="D73" s="156"/>
      <c r="E73" s="156"/>
      <c r="F73" s="156"/>
      <c r="G73" s="156"/>
      <c r="H73" s="156"/>
      <c r="I73" s="156"/>
    </row>
    <row r="74" spans="2:9" ht="15">
      <c r="B74" s="155" t="s">
        <v>70</v>
      </c>
      <c r="C74" s="156"/>
      <c r="D74" s="156"/>
      <c r="E74" s="156"/>
      <c r="F74" s="156"/>
      <c r="G74" s="156"/>
      <c r="H74" s="156"/>
      <c r="I74" s="156"/>
    </row>
    <row r="75" spans="2:9" ht="15">
      <c r="B75" s="156"/>
      <c r="C75" s="156"/>
      <c r="D75" s="156"/>
      <c r="E75" s="156"/>
      <c r="F75" s="156"/>
      <c r="G75" s="156"/>
      <c r="H75" s="156"/>
      <c r="I75" s="156"/>
    </row>
    <row r="76" spans="2:9" ht="15">
      <c r="B76" s="156" t="s">
        <v>319</v>
      </c>
      <c r="C76" s="156"/>
      <c r="D76" s="156"/>
      <c r="E76" s="156"/>
      <c r="F76" s="156"/>
      <c r="G76" s="156"/>
      <c r="H76" s="157"/>
      <c r="I76" s="158">
        <f>I67</f>
        <v>2244613</v>
      </c>
    </row>
    <row r="77" spans="2:9" ht="15">
      <c r="B77" s="156" t="s">
        <v>309</v>
      </c>
      <c r="C77" s="156"/>
      <c r="D77" s="156"/>
      <c r="E77" s="156"/>
      <c r="F77" s="156"/>
      <c r="G77" s="156"/>
      <c r="H77" s="156"/>
      <c r="I77" s="158">
        <v>0</v>
      </c>
    </row>
    <row r="78" spans="2:9" ht="15">
      <c r="B78" s="156" t="s">
        <v>311</v>
      </c>
      <c r="C78" s="156"/>
      <c r="D78" s="156"/>
      <c r="E78" s="156"/>
      <c r="F78" s="156"/>
      <c r="G78" s="156"/>
      <c r="H78" s="156"/>
      <c r="I78" s="160">
        <f>I79+I80</f>
        <v>673904</v>
      </c>
    </row>
    <row r="79" spans="2:9" ht="15">
      <c r="B79" s="156"/>
      <c r="C79" s="156"/>
      <c r="D79" s="156"/>
      <c r="E79" s="156"/>
      <c r="F79" s="161" t="s">
        <v>312</v>
      </c>
      <c r="G79" s="162" t="s">
        <v>313</v>
      </c>
      <c r="H79" s="156"/>
      <c r="I79" s="158">
        <f>102565+310000</f>
        <v>412565</v>
      </c>
    </row>
    <row r="80" spans="2:9" ht="15">
      <c r="B80" s="156"/>
      <c r="C80" s="156"/>
      <c r="D80" s="156"/>
      <c r="E80" s="156"/>
      <c r="F80" s="161" t="s">
        <v>314</v>
      </c>
      <c r="G80" s="162" t="s">
        <v>315</v>
      </c>
      <c r="H80" s="156"/>
      <c r="I80" s="158">
        <f>121339+140000</f>
        <v>261339</v>
      </c>
    </row>
    <row r="81" spans="2:9" ht="15">
      <c r="B81" s="156" t="s">
        <v>104</v>
      </c>
      <c r="C81" s="156"/>
      <c r="D81" s="156"/>
      <c r="E81" s="156"/>
      <c r="F81" s="156"/>
      <c r="G81" s="156"/>
      <c r="H81" s="156"/>
      <c r="I81" s="158">
        <f>I76+I77-I79</f>
        <v>1832048</v>
      </c>
    </row>
    <row r="82" spans="2:9" ht="15">
      <c r="B82" s="156" t="s">
        <v>105</v>
      </c>
      <c r="C82" s="156"/>
      <c r="D82" s="156"/>
      <c r="E82" s="156"/>
      <c r="F82" s="156"/>
      <c r="G82" s="156"/>
      <c r="H82" s="156"/>
      <c r="I82" s="158">
        <v>13500000</v>
      </c>
    </row>
    <row r="83" spans="2:9" ht="15">
      <c r="B83" s="156" t="s">
        <v>316</v>
      </c>
      <c r="C83" s="156"/>
      <c r="D83" s="156"/>
      <c r="E83" s="156"/>
      <c r="F83" s="156"/>
      <c r="G83" s="156"/>
      <c r="H83" s="156"/>
      <c r="I83" s="158"/>
    </row>
    <row r="84" spans="2:9" ht="15">
      <c r="B84" s="156" t="s">
        <v>106</v>
      </c>
      <c r="C84" s="156"/>
      <c r="D84" s="156"/>
      <c r="E84" s="156"/>
      <c r="F84" s="156"/>
      <c r="G84" s="156"/>
      <c r="H84" s="156"/>
      <c r="I84" s="163">
        <f>I78/I82</f>
        <v>0.04991881481481481</v>
      </c>
    </row>
    <row r="85" spans="2:9" ht="15">
      <c r="B85" s="156" t="s">
        <v>317</v>
      </c>
      <c r="C85" s="156"/>
      <c r="D85" s="156"/>
      <c r="E85" s="156"/>
      <c r="F85" s="156"/>
      <c r="G85" s="156"/>
      <c r="H85" s="156"/>
      <c r="I85" s="158"/>
    </row>
    <row r="86" spans="2:9" ht="15">
      <c r="B86" s="156" t="s">
        <v>318</v>
      </c>
      <c r="C86" s="156"/>
      <c r="D86" s="156"/>
      <c r="E86" s="156"/>
      <c r="F86" s="156"/>
      <c r="G86" s="156"/>
      <c r="H86" s="156"/>
      <c r="I86" s="163">
        <f>I81/I82</f>
        <v>0.13570725925925925</v>
      </c>
    </row>
    <row r="87" spans="2:9" ht="15">
      <c r="B87" s="156"/>
      <c r="C87" s="156"/>
      <c r="D87" s="156"/>
      <c r="E87" s="156"/>
      <c r="F87" s="156"/>
      <c r="G87" s="156"/>
      <c r="H87" s="156"/>
      <c r="I87" s="156"/>
    </row>
    <row r="88" spans="2:9" ht="15">
      <c r="B88" s="155" t="s">
        <v>71</v>
      </c>
      <c r="C88" s="156"/>
      <c r="D88" s="156"/>
      <c r="E88" s="156"/>
      <c r="F88" s="156"/>
      <c r="G88" s="156"/>
      <c r="H88" s="156"/>
      <c r="I88" s="156"/>
    </row>
    <row r="89" spans="2:9" ht="15">
      <c r="B89" s="156"/>
      <c r="C89" s="156"/>
      <c r="D89" s="156"/>
      <c r="E89" s="156"/>
      <c r="F89" s="156"/>
      <c r="G89" s="156"/>
      <c r="H89" s="156"/>
      <c r="I89" s="156"/>
    </row>
    <row r="90" spans="2:9" ht="15">
      <c r="B90" s="156" t="s">
        <v>319</v>
      </c>
      <c r="C90" s="156"/>
      <c r="D90" s="156"/>
      <c r="E90" s="156"/>
      <c r="F90" s="156"/>
      <c r="G90" s="156"/>
      <c r="H90" s="157"/>
      <c r="I90" s="158">
        <f>I81</f>
        <v>1832048</v>
      </c>
    </row>
    <row r="91" spans="2:9" ht="15">
      <c r="B91" s="156" t="s">
        <v>309</v>
      </c>
      <c r="C91" s="156"/>
      <c r="D91" s="156"/>
      <c r="E91" s="156"/>
      <c r="F91" s="156"/>
      <c r="G91" s="156"/>
      <c r="H91" s="156"/>
      <c r="I91" s="158">
        <v>0</v>
      </c>
    </row>
    <row r="92" spans="2:9" ht="15">
      <c r="B92" s="156" t="s">
        <v>311</v>
      </c>
      <c r="C92" s="156"/>
      <c r="D92" s="156"/>
      <c r="E92" s="156"/>
      <c r="F92" s="156"/>
      <c r="G92" s="156"/>
      <c r="H92" s="156"/>
      <c r="I92" s="160">
        <f>I93+I94</f>
        <v>627699</v>
      </c>
    </row>
    <row r="93" spans="2:9" ht="15">
      <c r="B93" s="156"/>
      <c r="C93" s="156"/>
      <c r="D93" s="156"/>
      <c r="E93" s="156"/>
      <c r="F93" s="161" t="s">
        <v>312</v>
      </c>
      <c r="G93" s="162" t="s">
        <v>313</v>
      </c>
      <c r="H93" s="156"/>
      <c r="I93" s="158">
        <f>102565+310000</f>
        <v>412565</v>
      </c>
    </row>
    <row r="94" spans="2:9" ht="15">
      <c r="B94" s="156"/>
      <c r="C94" s="156"/>
      <c r="D94" s="156"/>
      <c r="E94" s="156"/>
      <c r="F94" s="161" t="s">
        <v>314</v>
      </c>
      <c r="G94" s="162" t="s">
        <v>315</v>
      </c>
      <c r="H94" s="156"/>
      <c r="I94" s="158">
        <f>115134+100000</f>
        <v>215134</v>
      </c>
    </row>
    <row r="95" spans="2:9" ht="15">
      <c r="B95" s="156" t="s">
        <v>107</v>
      </c>
      <c r="C95" s="156"/>
      <c r="D95" s="156"/>
      <c r="E95" s="156"/>
      <c r="F95" s="156"/>
      <c r="G95" s="156"/>
      <c r="H95" s="156"/>
      <c r="I95" s="158">
        <f>I90+I91-I93</f>
        <v>1419483</v>
      </c>
    </row>
    <row r="96" spans="2:9" ht="15">
      <c r="B96" s="156" t="s">
        <v>301</v>
      </c>
      <c r="C96" s="156"/>
      <c r="D96" s="156"/>
      <c r="E96" s="156"/>
      <c r="F96" s="156"/>
      <c r="G96" s="156"/>
      <c r="H96" s="156"/>
      <c r="I96" s="158">
        <v>13500000</v>
      </c>
    </row>
    <row r="97" spans="2:9" ht="15">
      <c r="B97" s="156" t="s">
        <v>316</v>
      </c>
      <c r="C97" s="156"/>
      <c r="D97" s="156"/>
      <c r="E97" s="156"/>
      <c r="F97" s="156"/>
      <c r="G97" s="156"/>
      <c r="H97" s="156"/>
      <c r="I97" s="158"/>
    </row>
    <row r="98" spans="2:9" ht="15">
      <c r="B98" s="156" t="s">
        <v>109</v>
      </c>
      <c r="C98" s="156"/>
      <c r="D98" s="156"/>
      <c r="E98" s="156"/>
      <c r="F98" s="156"/>
      <c r="G98" s="156"/>
      <c r="H98" s="156"/>
      <c r="I98" s="163">
        <f>I92/I96</f>
        <v>0.046496222222222224</v>
      </c>
    </row>
    <row r="99" spans="2:9" ht="15">
      <c r="B99" s="156" t="s">
        <v>317</v>
      </c>
      <c r="C99" s="156"/>
      <c r="D99" s="156"/>
      <c r="E99" s="156"/>
      <c r="F99" s="156"/>
      <c r="G99" s="156"/>
      <c r="H99" s="156"/>
      <c r="I99" s="158"/>
    </row>
    <row r="100" spans="2:9" ht="15">
      <c r="B100" s="156" t="s">
        <v>318</v>
      </c>
      <c r="C100" s="156"/>
      <c r="D100" s="156"/>
      <c r="E100" s="156"/>
      <c r="F100" s="156"/>
      <c r="G100" s="156"/>
      <c r="H100" s="156"/>
      <c r="I100" s="163">
        <f>I95/I96</f>
        <v>0.10514688888888889</v>
      </c>
    </row>
    <row r="101" spans="2:9" ht="15">
      <c r="B101" s="156"/>
      <c r="C101" s="156"/>
      <c r="D101" s="156"/>
      <c r="E101" s="156"/>
      <c r="F101" s="156"/>
      <c r="G101" s="156"/>
      <c r="H101" s="156"/>
      <c r="I101" s="156"/>
    </row>
    <row r="102" spans="2:9" ht="15">
      <c r="B102" s="155" t="s">
        <v>72</v>
      </c>
      <c r="C102" s="156"/>
      <c r="D102" s="156"/>
      <c r="E102" s="156"/>
      <c r="F102" s="156"/>
      <c r="G102" s="156"/>
      <c r="H102" s="156"/>
      <c r="I102" s="156"/>
    </row>
    <row r="103" spans="2:9" ht="15">
      <c r="B103" s="156"/>
      <c r="C103" s="156"/>
      <c r="D103" s="156"/>
      <c r="E103" s="156"/>
      <c r="F103" s="156"/>
      <c r="G103" s="156"/>
      <c r="H103" s="156"/>
      <c r="I103" s="156"/>
    </row>
    <row r="104" spans="2:9" ht="15">
      <c r="B104" s="156" t="s">
        <v>319</v>
      </c>
      <c r="C104" s="156"/>
      <c r="D104" s="156"/>
      <c r="E104" s="156"/>
      <c r="F104" s="156"/>
      <c r="G104" s="156"/>
      <c r="H104" s="157"/>
      <c r="I104" s="158">
        <f>I95</f>
        <v>1419483</v>
      </c>
    </row>
    <row r="105" spans="2:9" ht="15">
      <c r="B105" s="156" t="s">
        <v>309</v>
      </c>
      <c r="C105" s="156"/>
      <c r="D105" s="156"/>
      <c r="E105" s="156"/>
      <c r="F105" s="156"/>
      <c r="G105" s="156"/>
      <c r="H105" s="156"/>
      <c r="I105" s="158">
        <v>0</v>
      </c>
    </row>
    <row r="106" spans="2:9" ht="15">
      <c r="B106" s="156" t="s">
        <v>311</v>
      </c>
      <c r="C106" s="156"/>
      <c r="D106" s="156"/>
      <c r="E106" s="156"/>
      <c r="F106" s="156"/>
      <c r="G106" s="156"/>
      <c r="H106" s="156"/>
      <c r="I106" s="160">
        <f>I107+I108</f>
        <v>611494</v>
      </c>
    </row>
    <row r="107" spans="2:9" ht="15">
      <c r="B107" s="156"/>
      <c r="C107" s="156"/>
      <c r="D107" s="156"/>
      <c r="E107" s="156"/>
      <c r="F107" s="161" t="s">
        <v>312</v>
      </c>
      <c r="G107" s="162" t="s">
        <v>313</v>
      </c>
      <c r="H107" s="156"/>
      <c r="I107" s="158">
        <f>102565+310000</f>
        <v>412565</v>
      </c>
    </row>
    <row r="108" spans="2:9" ht="15">
      <c r="B108" s="156"/>
      <c r="C108" s="156"/>
      <c r="D108" s="156"/>
      <c r="E108" s="156"/>
      <c r="F108" s="161" t="s">
        <v>314</v>
      </c>
      <c r="G108" s="162" t="s">
        <v>315</v>
      </c>
      <c r="H108" s="156"/>
      <c r="I108" s="158">
        <f>108929+90000</f>
        <v>198929</v>
      </c>
    </row>
    <row r="109" spans="2:9" ht="15">
      <c r="B109" s="156" t="s">
        <v>110</v>
      </c>
      <c r="C109" s="156"/>
      <c r="D109" s="156"/>
      <c r="E109" s="156"/>
      <c r="F109" s="156"/>
      <c r="G109" s="156"/>
      <c r="H109" s="156"/>
      <c r="I109" s="158">
        <f>I104+I105-I107</f>
        <v>1006918</v>
      </c>
    </row>
    <row r="110" spans="2:9" ht="15">
      <c r="B110" s="156" t="s">
        <v>111</v>
      </c>
      <c r="C110" s="156"/>
      <c r="D110" s="156"/>
      <c r="E110" s="156"/>
      <c r="F110" s="156"/>
      <c r="G110" s="156"/>
      <c r="H110" s="156"/>
      <c r="I110" s="158">
        <v>13500000</v>
      </c>
    </row>
    <row r="111" spans="2:9" ht="15">
      <c r="B111" s="156" t="s">
        <v>316</v>
      </c>
      <c r="C111" s="156"/>
      <c r="D111" s="156"/>
      <c r="E111" s="156"/>
      <c r="F111" s="156"/>
      <c r="G111" s="156"/>
      <c r="H111" s="156"/>
      <c r="I111" s="158"/>
    </row>
    <row r="112" spans="2:9" ht="15">
      <c r="B112" s="156" t="s">
        <v>112</v>
      </c>
      <c r="C112" s="156"/>
      <c r="D112" s="156"/>
      <c r="E112" s="156"/>
      <c r="F112" s="156"/>
      <c r="G112" s="156"/>
      <c r="H112" s="156"/>
      <c r="I112" s="163">
        <f>I106/I110</f>
        <v>0.04529585185185185</v>
      </c>
    </row>
    <row r="113" spans="2:9" ht="15">
      <c r="B113" s="156" t="s">
        <v>317</v>
      </c>
      <c r="C113" s="156"/>
      <c r="D113" s="156"/>
      <c r="E113" s="156"/>
      <c r="F113" s="156"/>
      <c r="G113" s="156"/>
      <c r="H113" s="156"/>
      <c r="I113" s="158"/>
    </row>
    <row r="114" spans="2:9" ht="15">
      <c r="B114" s="156" t="s">
        <v>318</v>
      </c>
      <c r="C114" s="156"/>
      <c r="D114" s="156"/>
      <c r="E114" s="156"/>
      <c r="F114" s="156"/>
      <c r="G114" s="156"/>
      <c r="H114" s="156"/>
      <c r="I114" s="163">
        <f>I109/I110</f>
        <v>0.07458651851851852</v>
      </c>
    </row>
    <row r="115" spans="2:9" ht="15">
      <c r="B115" s="156"/>
      <c r="C115" s="156"/>
      <c r="D115" s="156"/>
      <c r="E115" s="156"/>
      <c r="F115" s="156"/>
      <c r="G115" s="156"/>
      <c r="H115" s="156"/>
      <c r="I115" s="156"/>
    </row>
    <row r="116" spans="2:9" ht="15">
      <c r="B116" s="155" t="s">
        <v>73</v>
      </c>
      <c r="C116" s="156"/>
      <c r="D116" s="156"/>
      <c r="E116" s="156"/>
      <c r="F116" s="156"/>
      <c r="G116" s="156"/>
      <c r="H116" s="156"/>
      <c r="I116" s="156"/>
    </row>
    <row r="117" spans="2:9" ht="15">
      <c r="B117" s="156"/>
      <c r="C117" s="156"/>
      <c r="D117" s="156"/>
      <c r="E117" s="156"/>
      <c r="F117" s="156"/>
      <c r="G117" s="156"/>
      <c r="H117" s="156"/>
      <c r="I117" s="156"/>
    </row>
    <row r="118" spans="2:9" ht="15">
      <c r="B118" s="156" t="s">
        <v>319</v>
      </c>
      <c r="C118" s="156"/>
      <c r="D118" s="156"/>
      <c r="E118" s="156"/>
      <c r="F118" s="156"/>
      <c r="G118" s="156"/>
      <c r="H118" s="157"/>
      <c r="I118" s="158">
        <f>I109</f>
        <v>1006918</v>
      </c>
    </row>
    <row r="119" spans="2:9" ht="15">
      <c r="B119" s="156" t="s">
        <v>309</v>
      </c>
      <c r="C119" s="156"/>
      <c r="D119" s="156"/>
      <c r="E119" s="156"/>
      <c r="F119" s="156"/>
      <c r="G119" s="156"/>
      <c r="H119" s="156"/>
      <c r="I119" s="158">
        <v>0</v>
      </c>
    </row>
    <row r="120" spans="2:9" ht="15">
      <c r="B120" s="156" t="s">
        <v>311</v>
      </c>
      <c r="C120" s="156"/>
      <c r="D120" s="156"/>
      <c r="E120" s="156"/>
      <c r="F120" s="156"/>
      <c r="G120" s="156"/>
      <c r="H120" s="156"/>
      <c r="I120" s="160">
        <f>I121+I122</f>
        <v>559413</v>
      </c>
    </row>
    <row r="121" spans="2:9" ht="15">
      <c r="B121" s="156"/>
      <c r="C121" s="156"/>
      <c r="D121" s="156"/>
      <c r="E121" s="156"/>
      <c r="F121" s="161" t="s">
        <v>312</v>
      </c>
      <c r="G121" s="162" t="s">
        <v>313</v>
      </c>
      <c r="H121" s="156"/>
      <c r="I121" s="158">
        <f>76918+310000</f>
        <v>386918</v>
      </c>
    </row>
    <row r="122" spans="2:9" ht="15">
      <c r="B122" s="156"/>
      <c r="C122" s="156"/>
      <c r="D122" s="156"/>
      <c r="E122" s="156"/>
      <c r="F122" s="161" t="s">
        <v>314</v>
      </c>
      <c r="G122" s="162" t="s">
        <v>315</v>
      </c>
      <c r="H122" s="156"/>
      <c r="I122" s="158">
        <f>102495+70000</f>
        <v>172495</v>
      </c>
    </row>
    <row r="123" spans="2:9" ht="15">
      <c r="B123" s="156" t="s">
        <v>113</v>
      </c>
      <c r="C123" s="156"/>
      <c r="D123" s="156"/>
      <c r="E123" s="156"/>
      <c r="F123" s="156"/>
      <c r="G123" s="156"/>
      <c r="H123" s="156"/>
      <c r="I123" s="158">
        <f>I118+I119-I121</f>
        <v>620000</v>
      </c>
    </row>
    <row r="124" spans="2:9" ht="15">
      <c r="B124" s="156" t="s">
        <v>114</v>
      </c>
      <c r="C124" s="156"/>
      <c r="D124" s="156"/>
      <c r="E124" s="156"/>
      <c r="F124" s="156"/>
      <c r="G124" s="156"/>
      <c r="H124" s="156"/>
      <c r="I124" s="158">
        <v>13500000</v>
      </c>
    </row>
    <row r="125" spans="2:9" ht="15">
      <c r="B125" s="156" t="s">
        <v>316</v>
      </c>
      <c r="C125" s="156"/>
      <c r="D125" s="156"/>
      <c r="E125" s="156"/>
      <c r="F125" s="156"/>
      <c r="G125" s="156"/>
      <c r="H125" s="156"/>
      <c r="I125" s="158"/>
    </row>
    <row r="126" spans="2:9" ht="15">
      <c r="B126" s="156" t="s">
        <v>115</v>
      </c>
      <c r="C126" s="156"/>
      <c r="D126" s="156"/>
      <c r="E126" s="156"/>
      <c r="F126" s="156"/>
      <c r="G126" s="156"/>
      <c r="H126" s="156"/>
      <c r="I126" s="163">
        <f>I120/I124</f>
        <v>0.041438</v>
      </c>
    </row>
    <row r="127" spans="2:9" ht="15">
      <c r="B127" s="156" t="s">
        <v>317</v>
      </c>
      <c r="C127" s="156"/>
      <c r="D127" s="156"/>
      <c r="E127" s="156"/>
      <c r="F127" s="156"/>
      <c r="G127" s="156"/>
      <c r="H127" s="156"/>
      <c r="I127" s="158"/>
    </row>
    <row r="128" spans="2:9" ht="15">
      <c r="B128" s="156" t="s">
        <v>318</v>
      </c>
      <c r="C128" s="156"/>
      <c r="D128" s="156"/>
      <c r="E128" s="156"/>
      <c r="F128" s="156"/>
      <c r="G128" s="156"/>
      <c r="H128" s="156"/>
      <c r="I128" s="163">
        <f>I123/I124</f>
        <v>0.045925925925925926</v>
      </c>
    </row>
    <row r="129" spans="2:9" ht="15">
      <c r="B129" s="156"/>
      <c r="C129" s="156"/>
      <c r="D129" s="156"/>
      <c r="E129" s="156"/>
      <c r="F129" s="156"/>
      <c r="G129" s="156"/>
      <c r="H129" s="156"/>
      <c r="I129" s="156"/>
    </row>
    <row r="130" spans="2:9" ht="15">
      <c r="B130" s="155" t="s">
        <v>387</v>
      </c>
      <c r="C130" s="156"/>
      <c r="D130" s="156"/>
      <c r="E130" s="156"/>
      <c r="F130" s="156"/>
      <c r="G130" s="156"/>
      <c r="H130" s="156"/>
      <c r="I130" s="156"/>
    </row>
    <row r="131" spans="2:9" ht="15">
      <c r="B131" s="156"/>
      <c r="C131" s="156"/>
      <c r="D131" s="156"/>
      <c r="E131" s="156"/>
      <c r="F131" s="156"/>
      <c r="G131" s="156"/>
      <c r="H131" s="156"/>
      <c r="I131" s="156"/>
    </row>
    <row r="132" spans="2:9" ht="15">
      <c r="B132" s="156" t="s">
        <v>319</v>
      </c>
      <c r="C132" s="156"/>
      <c r="D132" s="156"/>
      <c r="E132" s="156"/>
      <c r="F132" s="156"/>
      <c r="G132" s="156"/>
      <c r="H132" s="157"/>
      <c r="I132" s="158">
        <f>I123</f>
        <v>620000</v>
      </c>
    </row>
    <row r="133" spans="2:9" ht="15">
      <c r="B133" s="156" t="s">
        <v>309</v>
      </c>
      <c r="C133" s="156"/>
      <c r="D133" s="156"/>
      <c r="E133" s="156"/>
      <c r="F133" s="156"/>
      <c r="G133" s="156"/>
      <c r="H133" s="156"/>
      <c r="I133" s="158">
        <v>0</v>
      </c>
    </row>
    <row r="134" spans="2:9" ht="15">
      <c r="B134" s="156" t="s">
        <v>311</v>
      </c>
      <c r="C134" s="156"/>
      <c r="D134" s="156"/>
      <c r="E134" s="156"/>
      <c r="F134" s="156"/>
      <c r="G134" s="156"/>
      <c r="H134" s="156"/>
      <c r="I134" s="160">
        <f>I135+I136</f>
        <v>345000</v>
      </c>
    </row>
    <row r="135" spans="2:9" ht="15">
      <c r="B135" s="156"/>
      <c r="C135" s="156"/>
      <c r="D135" s="156"/>
      <c r="E135" s="156"/>
      <c r="F135" s="161" t="s">
        <v>312</v>
      </c>
      <c r="G135" s="162" t="s">
        <v>313</v>
      </c>
      <c r="H135" s="156"/>
      <c r="I135" s="158">
        <v>310000</v>
      </c>
    </row>
    <row r="136" spans="2:9" ht="15">
      <c r="B136" s="156"/>
      <c r="C136" s="156"/>
      <c r="D136" s="156"/>
      <c r="E136" s="156"/>
      <c r="F136" s="161" t="s">
        <v>314</v>
      </c>
      <c r="G136" s="162" t="s">
        <v>315</v>
      </c>
      <c r="H136" s="156"/>
      <c r="I136" s="158">
        <v>35000</v>
      </c>
    </row>
    <row r="137" spans="2:9" ht="15">
      <c r="B137" s="156" t="s">
        <v>329</v>
      </c>
      <c r="C137" s="156"/>
      <c r="D137" s="156"/>
      <c r="E137" s="156"/>
      <c r="F137" s="156"/>
      <c r="G137" s="156"/>
      <c r="H137" s="156"/>
      <c r="I137" s="158">
        <f>I132+I133-I135</f>
        <v>310000</v>
      </c>
    </row>
    <row r="138" spans="2:9" ht="15">
      <c r="B138" s="156" t="s">
        <v>330</v>
      </c>
      <c r="C138" s="156"/>
      <c r="D138" s="156"/>
      <c r="E138" s="156"/>
      <c r="F138" s="156"/>
      <c r="G138" s="156"/>
      <c r="H138" s="156"/>
      <c r="I138" s="158">
        <v>13500000</v>
      </c>
    </row>
    <row r="139" spans="2:9" ht="15">
      <c r="B139" s="156" t="s">
        <v>316</v>
      </c>
      <c r="C139" s="156"/>
      <c r="D139" s="156"/>
      <c r="E139" s="156"/>
      <c r="F139" s="156"/>
      <c r="G139" s="156"/>
      <c r="H139" s="156"/>
      <c r="I139" s="158"/>
    </row>
    <row r="140" spans="2:9" ht="15">
      <c r="B140" s="156" t="s">
        <v>331</v>
      </c>
      <c r="C140" s="156"/>
      <c r="D140" s="156"/>
      <c r="E140" s="156"/>
      <c r="F140" s="156"/>
      <c r="G140" s="156"/>
      <c r="H140" s="156"/>
      <c r="I140" s="163">
        <f>I134/I138</f>
        <v>0.025555555555555557</v>
      </c>
    </row>
    <row r="141" spans="2:9" ht="15">
      <c r="B141" s="156" t="s">
        <v>317</v>
      </c>
      <c r="C141" s="156"/>
      <c r="D141" s="156"/>
      <c r="E141" s="156"/>
      <c r="F141" s="156"/>
      <c r="G141" s="156"/>
      <c r="H141" s="156"/>
      <c r="I141" s="158"/>
    </row>
    <row r="142" spans="2:9" ht="15">
      <c r="B142" s="156" t="s">
        <v>318</v>
      </c>
      <c r="C142" s="156"/>
      <c r="D142" s="156"/>
      <c r="E142" s="156"/>
      <c r="F142" s="156"/>
      <c r="G142" s="156"/>
      <c r="H142" s="156"/>
      <c r="I142" s="163">
        <f>I137/I138</f>
        <v>0.022962962962962963</v>
      </c>
    </row>
    <row r="143" spans="2:9" ht="15">
      <c r="B143" s="156"/>
      <c r="C143" s="156"/>
      <c r="D143" s="156"/>
      <c r="E143" s="156"/>
      <c r="F143" s="156"/>
      <c r="G143" s="156"/>
      <c r="H143" s="156"/>
      <c r="I143" s="163"/>
    </row>
    <row r="144" spans="2:9" ht="15">
      <c r="B144" s="155" t="s">
        <v>332</v>
      </c>
      <c r="C144" s="156"/>
      <c r="D144" s="156"/>
      <c r="E144" s="156"/>
      <c r="F144" s="156"/>
      <c r="G144" s="156"/>
      <c r="H144" s="156"/>
      <c r="I144" s="156"/>
    </row>
    <row r="145" spans="2:9" ht="15">
      <c r="B145" s="156"/>
      <c r="C145" s="156"/>
      <c r="D145" s="156"/>
      <c r="E145" s="156"/>
      <c r="F145" s="156"/>
      <c r="G145" s="156"/>
      <c r="H145" s="156"/>
      <c r="I145" s="156"/>
    </row>
    <row r="146" spans="2:9" ht="15">
      <c r="B146" s="156" t="s">
        <v>319</v>
      </c>
      <c r="C146" s="156"/>
      <c r="D146" s="156"/>
      <c r="E146" s="156"/>
      <c r="F146" s="156"/>
      <c r="G146" s="156"/>
      <c r="H146" s="157"/>
      <c r="I146" s="158">
        <f>I137</f>
        <v>310000</v>
      </c>
    </row>
    <row r="147" spans="2:9" ht="15">
      <c r="B147" s="156" t="s">
        <v>309</v>
      </c>
      <c r="C147" s="156"/>
      <c r="D147" s="156"/>
      <c r="E147" s="156"/>
      <c r="F147" s="156"/>
      <c r="G147" s="156"/>
      <c r="H147" s="156"/>
      <c r="I147" s="158">
        <v>0</v>
      </c>
    </row>
    <row r="148" spans="2:9" ht="15">
      <c r="B148" s="156" t="s">
        <v>311</v>
      </c>
      <c r="C148" s="156"/>
      <c r="D148" s="156"/>
      <c r="E148" s="156"/>
      <c r="F148" s="156"/>
      <c r="G148" s="156"/>
      <c r="H148" s="156"/>
      <c r="I148" s="160">
        <f>I149+I150</f>
        <v>330000</v>
      </c>
    </row>
    <row r="149" spans="2:9" ht="15">
      <c r="B149" s="156"/>
      <c r="C149" s="156"/>
      <c r="D149" s="156"/>
      <c r="E149" s="156"/>
      <c r="F149" s="161" t="s">
        <v>312</v>
      </c>
      <c r="G149" s="162" t="s">
        <v>313</v>
      </c>
      <c r="H149" s="156"/>
      <c r="I149" s="158">
        <v>310000</v>
      </c>
    </row>
    <row r="150" spans="2:9" ht="15">
      <c r="B150" s="156"/>
      <c r="C150" s="156"/>
      <c r="D150" s="156"/>
      <c r="E150" s="156"/>
      <c r="F150" s="161" t="s">
        <v>314</v>
      </c>
      <c r="G150" s="162" t="s">
        <v>315</v>
      </c>
      <c r="H150" s="156"/>
      <c r="I150" s="158">
        <v>20000</v>
      </c>
    </row>
    <row r="151" spans="2:9" ht="15">
      <c r="B151" s="156" t="s">
        <v>333</v>
      </c>
      <c r="C151" s="156"/>
      <c r="D151" s="156"/>
      <c r="E151" s="156"/>
      <c r="F151" s="156"/>
      <c r="G151" s="156"/>
      <c r="H151" s="156"/>
      <c r="I151" s="158">
        <f>I146+I147-I149</f>
        <v>0</v>
      </c>
    </row>
    <row r="152" spans="2:9" ht="15">
      <c r="B152" s="156" t="s">
        <v>300</v>
      </c>
      <c r="C152" s="156"/>
      <c r="D152" s="156"/>
      <c r="E152" s="156"/>
      <c r="F152" s="156"/>
      <c r="G152" s="156"/>
      <c r="H152" s="156"/>
      <c r="I152" s="158">
        <v>13500000</v>
      </c>
    </row>
    <row r="153" spans="2:9" ht="15">
      <c r="B153" s="156" t="s">
        <v>316</v>
      </c>
      <c r="C153" s="156"/>
      <c r="D153" s="156"/>
      <c r="E153" s="156"/>
      <c r="F153" s="156"/>
      <c r="G153" s="156"/>
      <c r="H153" s="156"/>
      <c r="I153" s="158"/>
    </row>
    <row r="154" spans="2:9" ht="15">
      <c r="B154" s="156" t="s">
        <v>383</v>
      </c>
      <c r="C154" s="156"/>
      <c r="D154" s="156"/>
      <c r="E154" s="156"/>
      <c r="F154" s="156"/>
      <c r="G154" s="156"/>
      <c r="H154" s="156"/>
      <c r="I154" s="163">
        <f>I148/I152</f>
        <v>0.024444444444444446</v>
      </c>
    </row>
    <row r="155" spans="2:9" ht="15">
      <c r="B155" s="156" t="s">
        <v>317</v>
      </c>
      <c r="C155" s="156"/>
      <c r="D155" s="156"/>
      <c r="E155" s="156"/>
      <c r="F155" s="156"/>
      <c r="G155" s="156"/>
      <c r="H155" s="156"/>
      <c r="I155" s="158"/>
    </row>
    <row r="156" spans="2:9" ht="15">
      <c r="B156" s="156" t="s">
        <v>318</v>
      </c>
      <c r="C156" s="156"/>
      <c r="D156" s="156"/>
      <c r="E156" s="156"/>
      <c r="F156" s="156"/>
      <c r="G156" s="156"/>
      <c r="H156" s="156"/>
      <c r="I156" s="163">
        <f>I151/I152</f>
        <v>0</v>
      </c>
    </row>
    <row r="157" spans="2:9" ht="15">
      <c r="B157" s="156"/>
      <c r="C157" s="156"/>
      <c r="D157" s="156"/>
      <c r="E157" s="156"/>
      <c r="F157" s="156"/>
      <c r="G157" s="156"/>
      <c r="H157" s="156"/>
      <c r="I157" s="163"/>
    </row>
    <row r="158" spans="2:9" ht="15">
      <c r="B158" s="156"/>
      <c r="C158" s="156"/>
      <c r="D158" s="156"/>
      <c r="E158" s="156"/>
      <c r="F158" s="156"/>
      <c r="G158" s="156"/>
      <c r="H158" s="156"/>
      <c r="I158" s="156"/>
    </row>
    <row r="159" spans="2:9" ht="15">
      <c r="B159" s="155" t="s">
        <v>385</v>
      </c>
      <c r="C159" s="156"/>
      <c r="D159" s="156"/>
      <c r="E159" s="156"/>
      <c r="F159" s="156"/>
      <c r="G159" s="156"/>
      <c r="H159" s="156"/>
      <c r="I159" s="156"/>
    </row>
    <row r="160" spans="2:9" ht="15">
      <c r="B160" s="155" t="s">
        <v>386</v>
      </c>
      <c r="C160" s="156"/>
      <c r="D160" s="156"/>
      <c r="E160" s="156"/>
      <c r="F160" s="156"/>
      <c r="G160" s="156"/>
      <c r="H160" s="156"/>
      <c r="I160" s="156"/>
    </row>
    <row r="161" spans="2:9" ht="15">
      <c r="B161" s="156"/>
      <c r="C161" s="156"/>
      <c r="D161" s="156"/>
      <c r="E161" s="156"/>
      <c r="F161" s="156"/>
      <c r="G161" s="156"/>
      <c r="H161" s="156"/>
      <c r="I161" s="156"/>
    </row>
  </sheetData>
  <printOptions horizontalCentered="1"/>
  <pageMargins left="0.11811023622047245" right="0.11811023622047245" top="0.26" bottom="0.07874015748031496" header="0.07874015748031496" footer="0.07874015748031496"/>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Arkusz11"/>
  <dimension ref="B2:K28"/>
  <sheetViews>
    <sheetView workbookViewId="0" topLeftCell="A1">
      <selection activeCell="B2" sqref="B2:I23"/>
    </sheetView>
  </sheetViews>
  <sheetFormatPr defaultColWidth="9.00390625" defaultRowHeight="12.75"/>
  <cols>
    <col min="1" max="1" width="3.75390625" style="0" customWidth="1"/>
    <col min="2" max="2" width="13.125" style="0" customWidth="1"/>
    <col min="4" max="4" width="11.25390625" style="0" customWidth="1"/>
    <col min="5" max="5" width="6.00390625" style="0" customWidth="1"/>
    <col min="6" max="6" width="11.00390625" style="0" customWidth="1"/>
    <col min="7" max="7" width="11.375" style="0" customWidth="1"/>
    <col min="8" max="8" width="20.125" style="0" customWidth="1"/>
    <col min="9" max="9" width="10.25390625" style="0" customWidth="1"/>
    <col min="10" max="10" width="16.875" style="0" customWidth="1"/>
    <col min="11" max="11" width="16.25390625" style="0" customWidth="1"/>
  </cols>
  <sheetData>
    <row r="2" spans="2:10" ht="38.25">
      <c r="B2" s="2"/>
      <c r="C2" s="2"/>
      <c r="D2" s="2"/>
      <c r="E2" s="2"/>
      <c r="F2" s="2"/>
      <c r="G2" s="2"/>
      <c r="H2" s="55" t="s">
        <v>211</v>
      </c>
      <c r="I2" s="2"/>
      <c r="J2" s="55"/>
    </row>
    <row r="3" spans="2:10" ht="12.75">
      <c r="B3" s="2"/>
      <c r="C3" s="2"/>
      <c r="D3" s="2"/>
      <c r="E3" s="2"/>
      <c r="F3" s="2"/>
      <c r="G3" s="2"/>
      <c r="H3" s="2"/>
      <c r="I3" s="2"/>
      <c r="J3" s="55"/>
    </row>
    <row r="4" spans="2:10" ht="12.75">
      <c r="B4" s="2"/>
      <c r="C4" s="2"/>
      <c r="D4" s="2"/>
      <c r="E4" s="2"/>
      <c r="F4" s="2"/>
      <c r="G4" s="2"/>
      <c r="H4" s="2"/>
      <c r="I4" s="2"/>
      <c r="J4" s="55"/>
    </row>
    <row r="5" spans="2:10" ht="12.75">
      <c r="B5" s="2"/>
      <c r="C5" s="2"/>
      <c r="D5" s="2"/>
      <c r="E5" s="2"/>
      <c r="F5" s="2"/>
      <c r="G5" s="2"/>
      <c r="H5" s="2"/>
      <c r="I5" s="2"/>
      <c r="J5" s="55"/>
    </row>
    <row r="6" spans="2:10" ht="12.75">
      <c r="B6" s="2"/>
      <c r="C6" s="2"/>
      <c r="D6" s="2"/>
      <c r="E6" s="2"/>
      <c r="F6" s="2"/>
      <c r="G6" s="2"/>
      <c r="H6" s="2"/>
      <c r="I6" s="2"/>
      <c r="J6" s="2"/>
    </row>
    <row r="7" spans="2:11" ht="15.75">
      <c r="B7" s="352" t="s">
        <v>127</v>
      </c>
      <c r="C7" s="352"/>
      <c r="D7" s="352"/>
      <c r="E7" s="352"/>
      <c r="F7" s="352"/>
      <c r="G7" s="352"/>
      <c r="H7" s="352"/>
      <c r="I7" s="352"/>
      <c r="J7" s="224"/>
      <c r="K7" s="54"/>
    </row>
    <row r="8" spans="2:11" ht="15.75">
      <c r="B8" s="352" t="s">
        <v>155</v>
      </c>
      <c r="C8" s="352"/>
      <c r="D8" s="352"/>
      <c r="E8" s="352"/>
      <c r="F8" s="352"/>
      <c r="G8" s="352"/>
      <c r="H8" s="352"/>
      <c r="I8" s="352"/>
      <c r="J8" s="224"/>
      <c r="K8" s="54"/>
    </row>
    <row r="9" spans="2:11" ht="15.75">
      <c r="B9" s="352" t="s">
        <v>154</v>
      </c>
      <c r="C9" s="352"/>
      <c r="D9" s="352"/>
      <c r="E9" s="352"/>
      <c r="F9" s="352"/>
      <c r="G9" s="352"/>
      <c r="H9" s="352"/>
      <c r="I9" s="352"/>
      <c r="J9" s="224"/>
      <c r="K9" s="54"/>
    </row>
    <row r="10" spans="2:10" ht="12.75">
      <c r="B10" s="2"/>
      <c r="C10" s="2"/>
      <c r="D10" s="2"/>
      <c r="E10" s="2"/>
      <c r="F10" s="2"/>
      <c r="G10" s="2"/>
      <c r="H10" s="2"/>
      <c r="I10" s="2"/>
      <c r="J10" s="2"/>
    </row>
    <row r="11" spans="2:10" ht="12.75">
      <c r="B11" s="2"/>
      <c r="C11" s="2"/>
      <c r="D11" s="2"/>
      <c r="E11" s="2"/>
      <c r="F11" s="2"/>
      <c r="G11" s="2"/>
      <c r="H11" s="2"/>
      <c r="I11" s="2"/>
      <c r="J11" s="2"/>
    </row>
    <row r="12" spans="2:10" ht="12.75">
      <c r="B12" s="2"/>
      <c r="C12" s="2"/>
      <c r="D12" s="2"/>
      <c r="E12" s="2"/>
      <c r="F12" s="2"/>
      <c r="G12" s="2"/>
      <c r="H12" s="2"/>
      <c r="I12" s="2"/>
      <c r="J12" s="2"/>
    </row>
    <row r="13" spans="2:10" ht="12.75">
      <c r="B13" s="2"/>
      <c r="C13" s="2"/>
      <c r="D13" s="2"/>
      <c r="E13" s="2"/>
      <c r="F13" s="2"/>
      <c r="G13" s="2"/>
      <c r="H13" s="2"/>
      <c r="I13" s="2"/>
      <c r="J13" s="2"/>
    </row>
    <row r="14" spans="2:10" ht="12.75">
      <c r="B14" s="47" t="s">
        <v>157</v>
      </c>
      <c r="C14" s="47" t="s">
        <v>461</v>
      </c>
      <c r="D14" s="2"/>
      <c r="E14" s="2"/>
      <c r="F14" s="2"/>
      <c r="G14" s="2"/>
      <c r="H14" s="56">
        <f>H15</f>
        <v>18000</v>
      </c>
      <c r="I14" s="2"/>
      <c r="J14" s="56"/>
    </row>
    <row r="15" spans="2:10" ht="12.75">
      <c r="B15" s="47" t="s">
        <v>126</v>
      </c>
      <c r="C15" s="47" t="s">
        <v>426</v>
      </c>
      <c r="D15" s="2"/>
      <c r="E15" s="2"/>
      <c r="F15" s="2"/>
      <c r="G15" s="2"/>
      <c r="H15" s="245">
        <f>H16</f>
        <v>18000</v>
      </c>
      <c r="I15" s="2"/>
      <c r="J15" s="57"/>
    </row>
    <row r="16" spans="2:10" ht="12.75">
      <c r="B16" s="47" t="s">
        <v>294</v>
      </c>
      <c r="C16" s="47" t="s">
        <v>118</v>
      </c>
      <c r="D16" s="2"/>
      <c r="E16" s="2"/>
      <c r="F16" s="2"/>
      <c r="G16" s="2"/>
      <c r="H16" s="57">
        <v>18000</v>
      </c>
      <c r="I16" s="2"/>
      <c r="J16" s="57"/>
    </row>
    <row r="17" spans="2:10" ht="12.75">
      <c r="B17" s="2"/>
      <c r="C17" s="2"/>
      <c r="D17" s="2"/>
      <c r="E17" s="2"/>
      <c r="F17" s="2"/>
      <c r="G17" s="2"/>
      <c r="H17" s="2"/>
      <c r="I17" s="2"/>
      <c r="J17" s="45"/>
    </row>
    <row r="18" spans="2:10" ht="12.75">
      <c r="B18" s="2"/>
      <c r="C18" s="2"/>
      <c r="D18" s="2"/>
      <c r="E18" s="2"/>
      <c r="F18" s="2"/>
      <c r="G18" s="2"/>
      <c r="H18" s="2"/>
      <c r="I18" s="2"/>
      <c r="J18" s="45"/>
    </row>
    <row r="19" ht="12.75">
      <c r="J19" s="44"/>
    </row>
    <row r="20" spans="2:10" ht="12.75">
      <c r="B20" t="s">
        <v>156</v>
      </c>
      <c r="J20" s="44"/>
    </row>
    <row r="21" spans="2:10" ht="12.75">
      <c r="B21" t="s">
        <v>275</v>
      </c>
      <c r="J21" s="44"/>
    </row>
    <row r="22" spans="2:10" ht="12.75">
      <c r="B22" t="s">
        <v>290</v>
      </c>
      <c r="J22" s="44"/>
    </row>
    <row r="23" ht="12.75">
      <c r="J23" s="44"/>
    </row>
    <row r="24" ht="12.75">
      <c r="J24" s="44"/>
    </row>
    <row r="25" ht="12.75">
      <c r="J25" s="44"/>
    </row>
    <row r="26" ht="12.75">
      <c r="J26" s="44"/>
    </row>
    <row r="27" ht="12.75">
      <c r="J27" s="44"/>
    </row>
    <row r="28" ht="12.75">
      <c r="J28" s="44"/>
    </row>
  </sheetData>
  <mergeCells count="3">
    <mergeCell ref="B7:I7"/>
    <mergeCell ref="B8:I8"/>
    <mergeCell ref="B9:I9"/>
  </mergeCells>
  <printOptions horizontalCentered="1"/>
  <pageMargins left="0.34" right="0.26" top="0.52"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D16"/>
  <sheetViews>
    <sheetView workbookViewId="0" topLeftCell="B7">
      <selection activeCell="G11" sqref="G11"/>
    </sheetView>
  </sheetViews>
  <sheetFormatPr defaultColWidth="9.00390625" defaultRowHeight="12.75"/>
  <cols>
    <col min="1" max="1" width="6.875" style="2" customWidth="1"/>
    <col min="2" max="2" width="33.25390625" style="2" customWidth="1"/>
    <col min="3" max="3" width="29.125" style="2" customWidth="1"/>
    <col min="4" max="4" width="43.00390625" style="2" customWidth="1"/>
    <col min="5" max="16384" width="9.125" style="2" customWidth="1"/>
  </cols>
  <sheetData>
    <row r="1" spans="3:4" ht="12.75">
      <c r="C1" s="7"/>
      <c r="D1" s="55" t="s">
        <v>217</v>
      </c>
    </row>
    <row r="3" ht="15.75">
      <c r="A3" s="46" t="s">
        <v>276</v>
      </c>
    </row>
    <row r="4" ht="13.5" thickBot="1">
      <c r="A4" s="1"/>
    </row>
    <row r="5" spans="1:4" s="68" customFormat="1" ht="13.5" customHeight="1">
      <c r="A5" s="300" t="s">
        <v>391</v>
      </c>
      <c r="B5" s="300" t="s">
        <v>392</v>
      </c>
      <c r="C5" s="300" t="s">
        <v>218</v>
      </c>
      <c r="D5" s="300"/>
    </row>
    <row r="6" spans="1:4" s="73" customFormat="1" ht="48" customHeight="1" thickBot="1">
      <c r="A6" s="301"/>
      <c r="B6" s="301"/>
      <c r="C6" s="301"/>
      <c r="D6" s="301"/>
    </row>
    <row r="7" spans="1:4" s="173" customFormat="1" ht="12.75">
      <c r="A7" s="172"/>
      <c r="B7" s="172"/>
      <c r="C7" s="172"/>
      <c r="D7" s="172"/>
    </row>
    <row r="8" spans="1:4" s="177" customFormat="1" ht="12.75">
      <c r="A8" s="174"/>
      <c r="B8" s="175" t="s">
        <v>193</v>
      </c>
      <c r="C8" s="176">
        <f>C9+C10+C11</f>
        <v>57000</v>
      </c>
      <c r="D8" s="176"/>
    </row>
    <row r="9" spans="1:4" s="179" customFormat="1" ht="12.75">
      <c r="A9" s="214"/>
      <c r="B9" s="215" t="s">
        <v>219</v>
      </c>
      <c r="C9" s="178">
        <v>2900</v>
      </c>
      <c r="D9" s="216"/>
    </row>
    <row r="10" spans="1:4" s="7" customFormat="1" ht="38.25">
      <c r="A10" s="21" t="s">
        <v>268</v>
      </c>
      <c r="B10" s="8" t="s">
        <v>194</v>
      </c>
      <c r="C10" s="9">
        <v>54000</v>
      </c>
      <c r="D10" s="9" t="s">
        <v>277</v>
      </c>
    </row>
    <row r="11" spans="1:4" s="7" customFormat="1" ht="13.5" thickBot="1">
      <c r="A11" s="193" t="s">
        <v>251</v>
      </c>
      <c r="B11" s="8" t="s">
        <v>481</v>
      </c>
      <c r="C11" s="188">
        <v>100</v>
      </c>
      <c r="D11" s="188" t="s">
        <v>220</v>
      </c>
    </row>
    <row r="12" spans="1:4" s="173" customFormat="1" ht="12.75">
      <c r="A12" s="172"/>
      <c r="B12" s="172"/>
      <c r="C12" s="172"/>
      <c r="D12" s="172"/>
    </row>
    <row r="13" spans="1:4" s="177" customFormat="1" ht="12.75">
      <c r="A13" s="174"/>
      <c r="B13" s="175" t="s">
        <v>65</v>
      </c>
      <c r="C13" s="176">
        <f>SUM(C14:C15)</f>
        <v>57000</v>
      </c>
      <c r="D13" s="176"/>
    </row>
    <row r="14" spans="1:4" s="18" customFormat="1" ht="36" customHeight="1">
      <c r="A14" s="21">
        <v>4210</v>
      </c>
      <c r="B14" s="8" t="s">
        <v>3</v>
      </c>
      <c r="C14" s="31">
        <v>17000</v>
      </c>
      <c r="D14" s="353" t="s">
        <v>221</v>
      </c>
    </row>
    <row r="15" spans="1:4" s="18" customFormat="1" ht="31.5" customHeight="1" thickBot="1">
      <c r="A15" s="21">
        <v>4300</v>
      </c>
      <c r="B15" s="8" t="s">
        <v>500</v>
      </c>
      <c r="C15" s="31">
        <v>40000</v>
      </c>
      <c r="D15" s="354"/>
    </row>
    <row r="16" spans="1:4" s="173" customFormat="1" ht="12.75">
      <c r="A16" s="172"/>
      <c r="B16" s="172"/>
      <c r="C16" s="172"/>
      <c r="D16" s="172"/>
    </row>
  </sheetData>
  <mergeCells count="5">
    <mergeCell ref="D14:D15"/>
    <mergeCell ref="A5:A6"/>
    <mergeCell ref="B5:B6"/>
    <mergeCell ref="C5:C6"/>
    <mergeCell ref="D5:D6"/>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E61"/>
  <sheetViews>
    <sheetView workbookViewId="0" topLeftCell="C44">
      <selection activeCell="D56" sqref="D56"/>
    </sheetView>
  </sheetViews>
  <sheetFormatPr defaultColWidth="9.00390625" defaultRowHeight="12.75"/>
  <cols>
    <col min="1" max="1" width="9.25390625" style="2" customWidth="1"/>
    <col min="2" max="2" width="36.75390625" style="2" customWidth="1"/>
    <col min="3" max="3" width="27.00390625" style="2" customWidth="1"/>
    <col min="4" max="4" width="32.875" style="2" customWidth="1"/>
    <col min="5" max="16384" width="9.125" style="2" customWidth="1"/>
  </cols>
  <sheetData>
    <row r="1" spans="3:4" ht="12.75">
      <c r="C1" s="7"/>
      <c r="D1" s="183" t="s">
        <v>191</v>
      </c>
    </row>
    <row r="3" ht="15.75">
      <c r="A3" s="46" t="s">
        <v>192</v>
      </c>
    </row>
    <row r="4" ht="13.5" thickBot="1">
      <c r="A4" s="1"/>
    </row>
    <row r="5" spans="1:4" ht="13.5" customHeight="1">
      <c r="A5" s="300" t="s">
        <v>391</v>
      </c>
      <c r="B5" s="300" t="s">
        <v>392</v>
      </c>
      <c r="C5" s="300" t="s">
        <v>244</v>
      </c>
      <c r="D5" s="300"/>
    </row>
    <row r="6" spans="1:4" s="171" customFormat="1" ht="48" customHeight="1" thickBot="1">
      <c r="A6" s="301"/>
      <c r="B6" s="301"/>
      <c r="C6" s="301"/>
      <c r="D6" s="301"/>
    </row>
    <row r="7" spans="1:4" s="173" customFormat="1" ht="12.75">
      <c r="A7" s="172"/>
      <c r="B7" s="172"/>
      <c r="C7" s="172"/>
      <c r="D7" s="172"/>
    </row>
    <row r="8" spans="1:4" s="177" customFormat="1" ht="12.75">
      <c r="A8" s="174">
        <v>60016</v>
      </c>
      <c r="B8" s="175" t="s">
        <v>193</v>
      </c>
      <c r="C8" s="176">
        <f>C10</f>
        <v>4900</v>
      </c>
      <c r="D8" s="176"/>
    </row>
    <row r="9" spans="1:4" s="121" customFormat="1" ht="12.75">
      <c r="A9" s="16"/>
      <c r="B9" s="30" t="s">
        <v>247</v>
      </c>
      <c r="C9" s="87">
        <v>0</v>
      </c>
      <c r="D9" s="87"/>
    </row>
    <row r="10" spans="1:4" s="7" customFormat="1" ht="26.25" thickBot="1">
      <c r="A10" s="21" t="s">
        <v>263</v>
      </c>
      <c r="B10" s="8" t="s">
        <v>194</v>
      </c>
      <c r="C10" s="9">
        <v>4900</v>
      </c>
      <c r="D10" s="9" t="s">
        <v>240</v>
      </c>
    </row>
    <row r="11" spans="1:4" s="173" customFormat="1" ht="12.75">
      <c r="A11" s="172"/>
      <c r="B11" s="172"/>
      <c r="C11" s="172"/>
      <c r="D11" s="172"/>
    </row>
    <row r="12" spans="1:4" s="177" customFormat="1" ht="12.75">
      <c r="A12" s="174">
        <v>60016</v>
      </c>
      <c r="B12" s="175" t="s">
        <v>65</v>
      </c>
      <c r="C12" s="176">
        <f>SUM(C13:C14)</f>
        <v>4900</v>
      </c>
      <c r="D12" s="176"/>
    </row>
    <row r="13" spans="1:4" s="18" customFormat="1" ht="12.75">
      <c r="A13" s="21">
        <v>4210</v>
      </c>
      <c r="B13" s="8" t="s">
        <v>3</v>
      </c>
      <c r="C13" s="31">
        <v>2900</v>
      </c>
      <c r="D13" s="9" t="s">
        <v>241</v>
      </c>
    </row>
    <row r="14" spans="1:4" s="18" customFormat="1" ht="26.25" thickBot="1">
      <c r="A14" s="21">
        <v>4300</v>
      </c>
      <c r="B14" s="8" t="s">
        <v>500</v>
      </c>
      <c r="C14" s="31">
        <v>2000</v>
      </c>
      <c r="D14" s="9" t="s">
        <v>203</v>
      </c>
    </row>
    <row r="15" spans="1:4" s="173" customFormat="1" ht="12.75">
      <c r="A15" s="172"/>
      <c r="B15" s="172"/>
      <c r="C15" s="172"/>
      <c r="D15" s="172"/>
    </row>
    <row r="16" spans="1:4" s="177" customFormat="1" ht="12.75">
      <c r="A16" s="174">
        <v>80101</v>
      </c>
      <c r="B16" s="175" t="s">
        <v>193</v>
      </c>
      <c r="C16" s="176">
        <f>SUM(C18:C22)</f>
        <v>165700</v>
      </c>
      <c r="D16" s="176"/>
    </row>
    <row r="17" spans="1:4" s="121" customFormat="1" ht="12.75">
      <c r="A17" s="16"/>
      <c r="B17" s="30" t="s">
        <v>247</v>
      </c>
      <c r="C17" s="87">
        <v>11000</v>
      </c>
      <c r="D17" s="302" t="s">
        <v>204</v>
      </c>
    </row>
    <row r="18" spans="1:4" s="179" customFormat="1" ht="12.75">
      <c r="A18" s="180" t="s">
        <v>268</v>
      </c>
      <c r="B18" s="181" t="s">
        <v>118</v>
      </c>
      <c r="C18" s="178">
        <v>500</v>
      </c>
      <c r="D18" s="355"/>
    </row>
    <row r="19" spans="1:4" s="179" customFormat="1" ht="12.75">
      <c r="A19" s="180" t="s">
        <v>250</v>
      </c>
      <c r="B19" s="181" t="s">
        <v>479</v>
      </c>
      <c r="C19" s="178">
        <v>146000</v>
      </c>
      <c r="D19" s="355"/>
    </row>
    <row r="20" spans="1:4" s="179" customFormat="1" ht="25.5">
      <c r="A20" s="182" t="s">
        <v>245</v>
      </c>
      <c r="B20" s="181" t="s">
        <v>195</v>
      </c>
      <c r="C20" s="31">
        <v>5000</v>
      </c>
      <c r="D20" s="355"/>
    </row>
    <row r="21" spans="1:4" s="179" customFormat="1" ht="12.75">
      <c r="A21" s="180" t="s">
        <v>251</v>
      </c>
      <c r="B21" s="181" t="s">
        <v>481</v>
      </c>
      <c r="C21" s="178">
        <v>700</v>
      </c>
      <c r="D21" s="355"/>
    </row>
    <row r="22" spans="1:4" s="7" customFormat="1" ht="26.25" thickBot="1">
      <c r="A22" s="21" t="s">
        <v>246</v>
      </c>
      <c r="B22" s="8" t="s">
        <v>196</v>
      </c>
      <c r="C22" s="9">
        <v>13500</v>
      </c>
      <c r="D22" s="356"/>
    </row>
    <row r="23" spans="1:4" s="173" customFormat="1" ht="12.75">
      <c r="A23" s="172"/>
      <c r="B23" s="172"/>
      <c r="C23" s="172"/>
      <c r="D23" s="172"/>
    </row>
    <row r="24" spans="1:4" s="177" customFormat="1" ht="12.75">
      <c r="A24" s="174">
        <v>80101</v>
      </c>
      <c r="B24" s="175" t="s">
        <v>65</v>
      </c>
      <c r="C24" s="176">
        <f>SUM(C25:C28)</f>
        <v>165700</v>
      </c>
      <c r="D24" s="176"/>
    </row>
    <row r="25" spans="1:4" s="18" customFormat="1" ht="12.75">
      <c r="A25" s="21">
        <v>4210</v>
      </c>
      <c r="B25" s="8" t="s">
        <v>3</v>
      </c>
      <c r="C25" s="31">
        <v>16500</v>
      </c>
      <c r="D25" s="302" t="s">
        <v>206</v>
      </c>
    </row>
    <row r="26" spans="1:4" s="18" customFormat="1" ht="12.75">
      <c r="A26" s="21">
        <v>4220</v>
      </c>
      <c r="B26" s="8" t="s">
        <v>200</v>
      </c>
      <c r="C26" s="31">
        <v>141000</v>
      </c>
      <c r="D26" s="355"/>
    </row>
    <row r="27" spans="1:4" s="18" customFormat="1" ht="29.25" customHeight="1">
      <c r="A27" s="21">
        <v>4240</v>
      </c>
      <c r="B27" s="8" t="s">
        <v>12</v>
      </c>
      <c r="C27" s="31">
        <v>500</v>
      </c>
      <c r="D27" s="355"/>
    </row>
    <row r="28" spans="1:4" s="18" customFormat="1" ht="27" customHeight="1" thickBot="1">
      <c r="A28" s="21">
        <v>4300</v>
      </c>
      <c r="B28" s="8" t="s">
        <v>500</v>
      </c>
      <c r="C28" s="31">
        <v>7700</v>
      </c>
      <c r="D28" s="356"/>
    </row>
    <row r="29" spans="1:4" s="173" customFormat="1" ht="12.75">
      <c r="A29" s="172"/>
      <c r="B29" s="172"/>
      <c r="C29" s="172"/>
      <c r="D29" s="172"/>
    </row>
    <row r="30" spans="1:4" s="177" customFormat="1" ht="12.75">
      <c r="A30" s="174">
        <v>80104</v>
      </c>
      <c r="B30" s="175" t="s">
        <v>193</v>
      </c>
      <c r="C30" s="176">
        <f>C32+C33+C34</f>
        <v>45000</v>
      </c>
      <c r="D30" s="176"/>
    </row>
    <row r="31" spans="1:4" s="121" customFormat="1" ht="12.75">
      <c r="A31" s="16"/>
      <c r="B31" s="30" t="s">
        <v>247</v>
      </c>
      <c r="C31" s="87">
        <v>2550</v>
      </c>
      <c r="D31" s="302" t="s">
        <v>242</v>
      </c>
    </row>
    <row r="32" spans="1:4" s="179" customFormat="1" ht="12.75">
      <c r="A32" s="189" t="s">
        <v>250</v>
      </c>
      <c r="B32" s="190" t="s">
        <v>479</v>
      </c>
      <c r="C32" s="191">
        <v>43000</v>
      </c>
      <c r="D32" s="355"/>
    </row>
    <row r="33" spans="1:4" s="179" customFormat="1" ht="12.75">
      <c r="A33" s="180" t="s">
        <v>251</v>
      </c>
      <c r="B33" s="181" t="s">
        <v>481</v>
      </c>
      <c r="C33" s="178">
        <v>100</v>
      </c>
      <c r="D33" s="355"/>
    </row>
    <row r="34" spans="1:4" s="179" customFormat="1" ht="25.5">
      <c r="A34" s="182" t="s">
        <v>246</v>
      </c>
      <c r="B34" s="8" t="s">
        <v>196</v>
      </c>
      <c r="C34" s="178">
        <v>1900</v>
      </c>
      <c r="D34" s="303"/>
    </row>
    <row r="35" spans="1:4" s="173" customFormat="1" ht="12.75">
      <c r="A35" s="192"/>
      <c r="B35" s="192"/>
      <c r="C35" s="192"/>
      <c r="D35" s="192"/>
    </row>
    <row r="36" spans="1:4" s="177" customFormat="1" ht="12.75">
      <c r="A36" s="174">
        <v>80104</v>
      </c>
      <c r="B36" s="175" t="s">
        <v>65</v>
      </c>
      <c r="C36" s="176">
        <f>SUM(C37:C39)</f>
        <v>45000</v>
      </c>
      <c r="D36" s="176"/>
    </row>
    <row r="37" spans="1:4" s="18" customFormat="1" ht="12.75" customHeight="1">
      <c r="A37" s="21">
        <v>4210</v>
      </c>
      <c r="B37" s="8" t="s">
        <v>3</v>
      </c>
      <c r="C37" s="31">
        <v>1800</v>
      </c>
      <c r="D37" s="302" t="s">
        <v>243</v>
      </c>
    </row>
    <row r="38" spans="1:4" s="18" customFormat="1" ht="27.75" customHeight="1">
      <c r="A38" s="21">
        <v>4220</v>
      </c>
      <c r="B38" s="8" t="s">
        <v>200</v>
      </c>
      <c r="C38" s="31">
        <v>43000</v>
      </c>
      <c r="D38" s="355"/>
    </row>
    <row r="39" spans="1:4" s="18" customFormat="1" ht="27.75" customHeight="1" thickBot="1">
      <c r="A39" s="193">
        <v>4300</v>
      </c>
      <c r="B39" s="8" t="s">
        <v>500</v>
      </c>
      <c r="C39" s="194">
        <v>200</v>
      </c>
      <c r="D39" s="355"/>
    </row>
    <row r="40" spans="1:4" s="173" customFormat="1" ht="12.75">
      <c r="A40" s="172"/>
      <c r="B40" s="172"/>
      <c r="C40" s="172"/>
      <c r="D40" s="184"/>
    </row>
    <row r="41" spans="1:4" s="76" customFormat="1" ht="12.75">
      <c r="A41" s="359" t="s">
        <v>247</v>
      </c>
      <c r="B41" s="360"/>
      <c r="C41" s="186">
        <f>C9+C17+C31</f>
        <v>13550</v>
      </c>
      <c r="D41" s="185"/>
    </row>
    <row r="42" spans="1:4" s="177" customFormat="1" ht="12.75">
      <c r="A42" s="357" t="s">
        <v>201</v>
      </c>
      <c r="B42" s="358"/>
      <c r="C42" s="176">
        <f>C8+C16+C30</f>
        <v>215600</v>
      </c>
      <c r="D42" s="185"/>
    </row>
    <row r="43" spans="1:4" s="177" customFormat="1" ht="12.75">
      <c r="A43" s="357" t="s">
        <v>202</v>
      </c>
      <c r="B43" s="358"/>
      <c r="C43" s="176">
        <f>C12+C24+C36</f>
        <v>215600</v>
      </c>
      <c r="D43" s="187"/>
    </row>
    <row r="46" spans="4:5" ht="25.5">
      <c r="D46" s="91" t="s">
        <v>216</v>
      </c>
      <c r="E46" s="91"/>
    </row>
    <row r="47" ht="12.75">
      <c r="D47" s="55"/>
    </row>
    <row r="48" spans="2:4" ht="18.75">
      <c r="B48" s="364" t="s">
        <v>213</v>
      </c>
      <c r="C48" s="364"/>
      <c r="D48" s="364"/>
    </row>
    <row r="51" spans="2:4" ht="12.75">
      <c r="B51" s="361" t="s">
        <v>279</v>
      </c>
      <c r="C51" s="361" t="s">
        <v>214</v>
      </c>
      <c r="D51" s="361" t="s">
        <v>215</v>
      </c>
    </row>
    <row r="52" spans="2:4" ht="12.75">
      <c r="B52" s="362"/>
      <c r="C52" s="362"/>
      <c r="D52" s="362"/>
    </row>
    <row r="53" spans="2:4" ht="12.75">
      <c r="B53" s="363"/>
      <c r="C53" s="363"/>
      <c r="D53" s="363"/>
    </row>
    <row r="54" spans="2:4" ht="12.75">
      <c r="B54" s="148" t="s">
        <v>280</v>
      </c>
      <c r="C54" s="217">
        <v>72120</v>
      </c>
      <c r="D54" s="217">
        <v>72120</v>
      </c>
    </row>
    <row r="55" spans="2:4" ht="12.75">
      <c r="B55" s="149" t="s">
        <v>284</v>
      </c>
      <c r="C55" s="147">
        <v>56700</v>
      </c>
      <c r="D55" s="147">
        <v>56700</v>
      </c>
    </row>
    <row r="56" spans="2:4" ht="12.75">
      <c r="B56" s="149" t="s">
        <v>281</v>
      </c>
      <c r="C56" s="147">
        <v>100800</v>
      </c>
      <c r="D56" s="147">
        <v>100800</v>
      </c>
    </row>
    <row r="57" spans="2:4" ht="12.75">
      <c r="B57" s="149" t="s">
        <v>282</v>
      </c>
      <c r="C57" s="147">
        <v>25700</v>
      </c>
      <c r="D57" s="147">
        <v>25700</v>
      </c>
    </row>
    <row r="58" spans="2:4" ht="12.75">
      <c r="B58" s="149" t="s">
        <v>283</v>
      </c>
      <c r="C58" s="147">
        <v>5000</v>
      </c>
      <c r="D58" s="147">
        <v>5000</v>
      </c>
    </row>
    <row r="59" spans="2:4" ht="12.75">
      <c r="B59" s="37"/>
      <c r="C59" s="217"/>
      <c r="D59" s="217"/>
    </row>
    <row r="60" spans="2:4" ht="15.75">
      <c r="B60" s="218"/>
      <c r="C60" s="86">
        <f>SUM(C54:C59)</f>
        <v>260320</v>
      </c>
      <c r="D60" s="86">
        <f>SUM(D54:D59)</f>
        <v>260320</v>
      </c>
    </row>
    <row r="61" spans="2:4" ht="12.75">
      <c r="B61" s="39"/>
      <c r="C61" s="150"/>
      <c r="D61" s="150"/>
    </row>
  </sheetData>
  <mergeCells count="15">
    <mergeCell ref="B51:B53"/>
    <mergeCell ref="C51:C53"/>
    <mergeCell ref="D51:D53"/>
    <mergeCell ref="B48:D48"/>
    <mergeCell ref="A5:A6"/>
    <mergeCell ref="B5:B6"/>
    <mergeCell ref="C5:C6"/>
    <mergeCell ref="D5:D6"/>
    <mergeCell ref="A42:B42"/>
    <mergeCell ref="A43:B43"/>
    <mergeCell ref="D31:D34"/>
    <mergeCell ref="A41:B41"/>
    <mergeCell ref="D37:D39"/>
    <mergeCell ref="D17:D22"/>
    <mergeCell ref="D25:D28"/>
  </mergeCells>
  <printOptions horizontalCentered="1"/>
  <pageMargins left="0.13" right="0.07874015748031496" top="0.48" bottom="0.15748031496062992" header="0.5" footer="0.1574803149606299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E26"/>
  <sheetViews>
    <sheetView workbookViewId="0" topLeftCell="A1">
      <selection activeCell="D19" sqref="D19"/>
    </sheetView>
  </sheetViews>
  <sheetFormatPr defaultColWidth="9.00390625" defaultRowHeight="12.75"/>
  <cols>
    <col min="1" max="1" width="4.375" style="2" customWidth="1"/>
    <col min="2" max="2" width="6.75390625" style="2" customWidth="1"/>
    <col min="3" max="3" width="26.875" style="2" customWidth="1"/>
    <col min="4" max="4" width="37.625" style="2" customWidth="1"/>
    <col min="5" max="5" width="32.625" style="2" customWidth="1"/>
    <col min="6" max="9" width="9.125" style="2" customWidth="1"/>
    <col min="10" max="10" width="7.875" style="2" customWidth="1"/>
    <col min="11" max="11" width="19.25390625" style="2" customWidth="1"/>
    <col min="12" max="12" width="14.625" style="2" customWidth="1"/>
    <col min="13" max="13" width="14.125" style="2" customWidth="1"/>
    <col min="14" max="14" width="14.375" style="2" customWidth="1"/>
    <col min="15" max="15" width="14.625" style="2" customWidth="1"/>
    <col min="16" max="16" width="13.125" style="2" customWidth="1"/>
    <col min="17" max="17" width="17.25390625" style="2" customWidth="1"/>
    <col min="18" max="16384" width="9.125" style="2" customWidth="1"/>
  </cols>
  <sheetData>
    <row r="2" ht="25.5">
      <c r="E2" s="91" t="s">
        <v>222</v>
      </c>
    </row>
    <row r="4" spans="2:5" ht="15.75">
      <c r="B4" s="365" t="s">
        <v>273</v>
      </c>
      <c r="C4" s="365"/>
      <c r="D4" s="365"/>
      <c r="E4" s="365"/>
    </row>
    <row r="7" spans="2:5" ht="12.75" customHeight="1">
      <c r="B7" s="366" t="s">
        <v>46</v>
      </c>
      <c r="C7" s="366" t="s">
        <v>297</v>
      </c>
      <c r="D7" s="361" t="s">
        <v>235</v>
      </c>
      <c r="E7" s="361" t="s">
        <v>296</v>
      </c>
    </row>
    <row r="8" spans="2:5" s="7" customFormat="1" ht="12.75">
      <c r="B8" s="367"/>
      <c r="C8" s="367"/>
      <c r="D8" s="362"/>
      <c r="E8" s="362"/>
    </row>
    <row r="9" spans="2:5" ht="12.75" customHeight="1">
      <c r="B9" s="368"/>
      <c r="C9" s="368"/>
      <c r="D9" s="363"/>
      <c r="E9" s="363"/>
    </row>
    <row r="10" spans="2:5" ht="12.75">
      <c r="B10" s="34"/>
      <c r="C10" s="34"/>
      <c r="D10" s="34"/>
      <c r="E10" s="34"/>
    </row>
    <row r="11" spans="2:5" s="68" customFormat="1" ht="25.5">
      <c r="B11" s="3">
        <v>400</v>
      </c>
      <c r="C11" s="29" t="s">
        <v>179</v>
      </c>
      <c r="D11" s="196">
        <f>521500+D12</f>
        <v>592550</v>
      </c>
      <c r="E11" s="41">
        <v>592550</v>
      </c>
    </row>
    <row r="12" spans="2:5" s="68" customFormat="1" ht="12.75">
      <c r="B12" s="3"/>
      <c r="C12" s="195" t="s">
        <v>234</v>
      </c>
      <c r="D12" s="41">
        <v>71050</v>
      </c>
      <c r="E12" s="41"/>
    </row>
    <row r="13" spans="2:5" s="68" customFormat="1" ht="12.75">
      <c r="B13" s="3">
        <v>600</v>
      </c>
      <c r="C13" s="221" t="s">
        <v>459</v>
      </c>
      <c r="D13" s="196">
        <f>0+D14</f>
        <v>168400</v>
      </c>
      <c r="E13" s="41">
        <v>168400</v>
      </c>
    </row>
    <row r="14" spans="2:5" s="68" customFormat="1" ht="12.75">
      <c r="B14" s="3"/>
      <c r="C14" s="195" t="s">
        <v>234</v>
      </c>
      <c r="D14" s="41">
        <v>168400</v>
      </c>
      <c r="E14" s="41"/>
    </row>
    <row r="15" spans="2:5" s="68" customFormat="1" ht="12.75">
      <c r="B15" s="3">
        <v>700</v>
      </c>
      <c r="C15" s="29" t="s">
        <v>410</v>
      </c>
      <c r="D15" s="196">
        <v>284310</v>
      </c>
      <c r="E15" s="41">
        <v>284310</v>
      </c>
    </row>
    <row r="16" spans="2:5" s="68" customFormat="1" ht="12.75">
      <c r="B16" s="3"/>
      <c r="C16" s="195" t="s">
        <v>234</v>
      </c>
      <c r="D16" s="41">
        <v>0</v>
      </c>
      <c r="E16" s="41"/>
    </row>
    <row r="17" spans="2:5" s="68" customFormat="1" ht="25.5">
      <c r="B17" s="3">
        <v>900</v>
      </c>
      <c r="C17" s="29" t="s">
        <v>298</v>
      </c>
      <c r="D17" s="196">
        <f>834023+D18</f>
        <v>965106</v>
      </c>
      <c r="E17" s="41">
        <v>965106</v>
      </c>
    </row>
    <row r="18" spans="2:5" s="68" customFormat="1" ht="12.75">
      <c r="B18" s="3"/>
      <c r="C18" s="195" t="s">
        <v>234</v>
      </c>
      <c r="D18" s="41">
        <v>131083</v>
      </c>
      <c r="E18" s="79"/>
    </row>
    <row r="19" spans="2:5" s="166" customFormat="1" ht="15.75">
      <c r="B19" s="167"/>
      <c r="C19" s="168"/>
      <c r="D19" s="106">
        <f>D11+D15+D17+D13</f>
        <v>2010366</v>
      </c>
      <c r="E19" s="106">
        <f>E11+E15+E17+E13</f>
        <v>2010366</v>
      </c>
    </row>
    <row r="20" spans="4:5" ht="12.75">
      <c r="D20" s="45"/>
      <c r="E20" s="45"/>
    </row>
    <row r="21" spans="4:5" ht="12.75">
      <c r="D21" s="45"/>
      <c r="E21" s="45"/>
    </row>
    <row r="22" spans="4:5" ht="12.75">
      <c r="D22" s="45"/>
      <c r="E22" s="45"/>
    </row>
    <row r="24" ht="12.75">
      <c r="D24" s="99"/>
    </row>
    <row r="25" ht="12.75">
      <c r="D25" s="45"/>
    </row>
    <row r="26" ht="12.75">
      <c r="D26" s="45"/>
    </row>
  </sheetData>
  <mergeCells count="5">
    <mergeCell ref="B4:E4"/>
    <mergeCell ref="B7:B9"/>
    <mergeCell ref="C7:C9"/>
    <mergeCell ref="D7:D9"/>
    <mergeCell ref="E7:E9"/>
  </mergeCells>
  <printOptions horizontalCentered="1"/>
  <pageMargins left="0.1968503937007874" right="0.1968503937007874" top="0.52" bottom="0.984251968503937" header="0.5118110236220472" footer="0.5118110236220472"/>
  <pageSetup horizontalDpi="300" verticalDpi="300" orientation="landscape"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Każmierz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Jaworska</dc:creator>
  <cp:keywords/>
  <dc:description/>
  <cp:lastModifiedBy>Małgorzata Jaworska</cp:lastModifiedBy>
  <cp:lastPrinted>2004-11-19T12:00:33Z</cp:lastPrinted>
  <dcterms:created xsi:type="dcterms:W3CDTF">2000-09-27T09:53:00Z</dcterms:created>
  <dcterms:modified xsi:type="dcterms:W3CDTF">2004-11-23T09:27:22Z</dcterms:modified>
  <cp:category/>
  <cp:version/>
  <cp:contentType/>
  <cp:contentStatus/>
</cp:coreProperties>
</file>