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035" windowHeight="12525" firstSheet="6" activeTab="8"/>
  </bookViews>
  <sheets>
    <sheet name="Strona tyt." sheetId="1" r:id="rId1"/>
    <sheet name="Zał.nr 1" sheetId="2" r:id="rId2"/>
    <sheet name="Dotacje 201" sheetId="3" r:id="rId3"/>
    <sheet name="Zał.nr 2" sheetId="4" r:id="rId4"/>
    <sheet name="Dotacje" sheetId="5" r:id="rId5"/>
    <sheet name="Wydatki opis" sheetId="6" r:id="rId6"/>
    <sheet name="Zał.nr 3" sheetId="7" r:id="rId7"/>
    <sheet name="Zał.nr 4" sheetId="8" r:id="rId8"/>
    <sheet name="Zał.nr 5" sheetId="9" r:id="rId9"/>
    <sheet name="Inwestycje opis" sheetId="10" r:id="rId10"/>
    <sheet name="Zał.nr 6" sheetId="11" r:id="rId11"/>
    <sheet name="do zał.nr 6" sheetId="12" r:id="rId12"/>
    <sheet name="Zał.nr 7" sheetId="13" r:id="rId13"/>
    <sheet name="ZUK przychody" sheetId="14" r:id="rId14"/>
    <sheet name="ZUK koszty" sheetId="15" r:id="rId15"/>
    <sheet name="Zał.nr 8" sheetId="16" r:id="rId16"/>
    <sheet name="Zał.nr 9 Biblioteka" sheetId="17" r:id="rId17"/>
    <sheet name="Zał.nr 10 GOK" sheetId="18" r:id="rId18"/>
  </sheets>
  <externalReferences>
    <externalReference r:id="rId21"/>
    <externalReference r:id="rId22"/>
    <externalReference r:id="rId23"/>
    <externalReference r:id="rId24"/>
  </externalReferences>
  <definedNames>
    <definedName name="_xlnm.Print_Titles" localSheetId="1">'Zał.nr 1'!$3:$5</definedName>
    <definedName name="_xlnm.Print_Titles" localSheetId="3">'Zał.nr 2'!$3:$4</definedName>
    <definedName name="_xlnm.Print_Titles" localSheetId="8">'Zał.nr 5'!$3:$5</definedName>
    <definedName name="_xlnm.Print_Titles" localSheetId="14">'ZUK koszty'!$4:$4</definedName>
  </definedNames>
  <calcPr fullCalcOnLoad="1"/>
</workbook>
</file>

<file path=xl/sharedStrings.xml><?xml version="1.0" encoding="utf-8"?>
<sst xmlns="http://schemas.openxmlformats.org/spreadsheetml/2006/main" count="2277" uniqueCount="1201">
  <si>
    <t>- bieżące utrzymanie budynków komunalnych, 2 kotłownii, naprawy i konserwacje urządzeń, wymiana ciepłomierza i regulatora w kotłowni osiedlowej przy ul.Prusa w Kaźmierzu, naprawa opłotowanie przy budynku w Radzynach ul.Główna 38; remont z wymianą stolarki okiennej (3szt.) w budynku Ośrodka Zdrowia w Kaźmierzu, w budynku mieszkalnym w Radzynach przy ul.Głównej 38 (14szt), w budynku mieszkalnym w Chlewiskach (4szt), w budynku mieszkalnym ul.Gimnazjalna w Kaźmierzu (2szt), usługi zdrowotne na rzecz pracowników,</t>
  </si>
  <si>
    <t>- utrzymanie bieżące 3 oczyszczalni ścieków, przepompowni ścieków, przyłączy kanalizacyjnych oraz sieci kanalizacji sanitarnej i deszczowej w tym: naprawa pomp, transport i odwadnianie osadów nadmiernych do Zakładu Gospodarki Komunalnej w Szamotułach, badanie ścieków i osadów, zakup usług dotyczących budowy przyłączy kanalizacyjnych, utrzymanie pojazdów do wywozu nieczystości płynnych, odprowadzania ścieków z rejonu ul.Łąkowej i Leśnej do oczyszczalni Hochland w Kaźmierzu, usługi zdrowotne na rzecz pracowników,</t>
  </si>
  <si>
    <t>- opłaty za korzystanie ze środowiska przekazywane do Urzędu Marszałkowskiego w Poznaniu,  opłata za trwały zarząd, opłaty za umieszczenie sieci kanalizacyjnych w pasie drogowym,</t>
  </si>
  <si>
    <t>- utrzymanie samochodu asenizacyjnego, śmieciarki, pojemników do segregacji odpadów komunalnych, opłaty za składowanie niesegregowanych odpadów komunalnych na wysypisku w Rumianku,</t>
  </si>
  <si>
    <t>- zakup śmieciarki IVECO Cargo 120 E15 rok produkcji 1999 z dotacji celowej z Urzędu Gminy w Kaźmierzu,</t>
  </si>
  <si>
    <t>- utrzymanie zieleni na terenie gminy, w tym: zakup paliwa i części zamiennych do kosiarek i wykaszarek, zakup kwiatów, środków ochrony roślin, nawozów do bieżącego utrzymania placów zieleni, naprawy kosiarek i wykaszarek,</t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</si>
  <si>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 xml:space="preserve">zakup materiałów i usług remontowych dotyczocych świetlic wielskich (zakup sprzętu AGD dla świetlic w Bytyniu, Młodasku i Gaju Wielkim stolarki okiennej do świetlicy w Dolnym Polu, stół do p-ponga do świetlicy w Młodasku, mikrofonów bezprzewodowych dla świetlicy w Chlewiskach, wózka do nawozów dla sołectwa Kiączyn, kosiarki dla sołectwa Chlewiska, kosy spalinowej dla sołectwa Piersko, remont pomieszczeń magazynowych Urzędu Gminy, remont CO w świetlicy w Komorowie, naprawa instalacji elektrycznej w świetlicy w Młodasku)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</si>
  <si>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koszty z wiązane z zarządzaniem kryzysowym</t>
    </r>
  </si>
  <si>
    <t xml:space="preserve">Rezerwę ogólną zgodnie z uchwałą nr XVIII/101/07 Rady Gminy Kaźmierz z dnia 19.12.2007 r. uchwalono w wysokości 50.000,00 </t>
  </si>
  <si>
    <t xml:space="preserve">W trakcie I półrocza 2008 r. kwota rezerwy ulegała zmianie:                                                               * zgodnie z Uchwałą nr XXI/114/08 Rady Gminy Kaźmierz z dnia 05.03.2008 r. została zwiększona o kwotę 18.618,00                                               </t>
  </si>
  <si>
    <t>- zakup usług pozostałych ( opłaty RTV,dozór techniczny, przeglądy serwisowe, pływalnia, chemiczne czyszczenie sieci CO,śmieci, ścieki)</t>
  </si>
  <si>
    <t>- zakup akcesoriów komputerowych w tym programów</t>
  </si>
  <si>
    <t>- zakup usług pozostałych ( opłaty RTV,dozór techniczny, przeglądy serwisowe, wywóz śmieci, ścieki )</t>
  </si>
  <si>
    <t>- zakup usług pozostałych ( opłaty RTV wywóz śmieci )</t>
  </si>
  <si>
    <t>- zakup materiałów i wyposażenia</t>
  </si>
  <si>
    <t>- zakup usług pozostałych</t>
  </si>
  <si>
    <t>- zakup usług pozostałych ( opłaty RTV,dozór techniczny, przeglądy serwisowe, ścieki, śmieci )</t>
  </si>
  <si>
    <t>Wydatki - zwrot wg porozumienia za pobyt dzieci w przedszkolu niepublicznym w Gminie Tarnowo Podgórne</t>
  </si>
  <si>
    <t>- materiały na bieżące potrzeby ( zakup regałów, gablot, tablic, paliwo do kosiarki, środki czystości)</t>
  </si>
  <si>
    <t xml:space="preserve">- usługi remontowe, naprawcze, układanie kostki brukowej </t>
  </si>
  <si>
    <t>- zakup usług pozostałych ( opłaty RTV,dozór techniczny, przeglądy serwisowe, ścieki, śmieci, monitoring )</t>
  </si>
  <si>
    <t>- podróże służbowe zagraniczne (wyjazd do Niemiec wymiana szkół)</t>
  </si>
  <si>
    <t>- wydatki inwestycyjne ( zakup kostki brukowej)</t>
  </si>
  <si>
    <t xml:space="preserve">·       wynagrodzenie GKRPA </t>
  </si>
  <si>
    <t>·       wynagrodzenie psychologów, lekarzy oraz biegłych psychologa i psychiatry</t>
  </si>
  <si>
    <t>·     energia elektryczna i gaz (siedziba GKRPA)</t>
  </si>
  <si>
    <t>·     drobne prace remontowe  (siedziba GKRPA usługa szklarska)</t>
  </si>
  <si>
    <t>·       wynagrodzenia osób prowadzących świetlicę opiekuńczo-wychowawczą  w Chlewiskach</t>
  </si>
  <si>
    <r>
      <t>·</t>
    </r>
    <r>
      <rPr>
        <sz val="7"/>
        <rFont val="Times New Roman"/>
        <family val="1"/>
      </rPr>
      <t>       </t>
    </r>
    <r>
      <rPr>
        <sz val="12"/>
        <rFont val="Times New Roman"/>
        <family val="1"/>
      </rPr>
      <t>zakup mebli do świetlicy profilaktycznej w Gaju Wielkim</t>
    </r>
  </si>
  <si>
    <r>
      <t>·</t>
    </r>
    <r>
      <rPr>
        <sz val="7"/>
        <rFont val="Times New Roman"/>
        <family val="1"/>
      </rPr>
      <t>       </t>
    </r>
    <r>
      <rPr>
        <sz val="12"/>
        <rFont val="Times New Roman"/>
        <family val="1"/>
      </rPr>
      <t>zakup alkomatu dla Policji w Kaźmierzu</t>
    </r>
  </si>
  <si>
    <r>
      <t>·</t>
    </r>
    <r>
      <rPr>
        <sz val="7"/>
        <rFont val="Times New Roman"/>
        <family val="1"/>
      </rPr>
      <t>       </t>
    </r>
    <r>
      <rPr>
        <sz val="12"/>
        <rFont val="Times New Roman"/>
        <family val="1"/>
      </rPr>
      <t>dofinansowanie tzw.Zielonych szkół dla uczniów z terenu gminy</t>
    </r>
  </si>
  <si>
    <t>1. Zwalczanie narkomanii</t>
  </si>
  <si>
    <r>
      <t>-</t>
    </r>
    <r>
      <rPr>
        <sz val="7"/>
        <rFont val="Times New Roman"/>
        <family val="1"/>
      </rPr>
      <t>      </t>
    </r>
    <r>
      <rPr>
        <sz val="12"/>
        <rFont val="Times New Roman"/>
        <family val="1"/>
      </rPr>
      <t>zasiłki rodzinne (4 820 świadczeń)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</si>
  <si>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urodzenia dziecka (26 świadczeń)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</si>
  <si>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opieki nad dzieckiem w okresie korzystania z urlopu wychowawczego (227 świadczeń)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</si>
  <si>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samotnego wychowywania dziecka (218 świadczeń)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</si>
  <si>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kształcenia i rehabilitacji dziecka niepełnosprawnego do 5 roku życia (50 świadczeń)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</si>
  <si>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kształcenia i rehabilitacji dziecka niepełnosprawnego powyżej 5 roku życia ( 198 świadczeń)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</si>
  <si>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rozpoczęcie roku szkolnego ( 1 świadczenie)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</si>
  <si>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na pokrycie wydatków związanych z zamieszkaniem w miejscowości, w której znajduje się szkoła ( 54 świadczeń)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</si>
  <si>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na pokrycie wydatków związanych z dojazdem do miejscowości, w której znajduje się szkoła ( 685 świadczeń)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</si>
  <si>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wychowywanie dziecka w rodzinie wielodzietnej (800 świadczeń)</t>
    </r>
  </si>
  <si>
    <t>-  zasiłki pielęgnacyjne ( 691 świadczeń)</t>
  </si>
  <si>
    <r>
      <t xml:space="preserve">-   </t>
    </r>
    <r>
      <rPr>
        <sz val="12"/>
        <rFont val="Times New Roman"/>
        <family val="1"/>
      </rPr>
      <t>świadczenia pielęgnacyjne (84 świadczenia)</t>
    </r>
  </si>
  <si>
    <r>
      <t xml:space="preserve">-   </t>
    </r>
    <r>
      <rPr>
        <sz val="12"/>
        <rFont val="Times New Roman"/>
        <family val="1"/>
      </rPr>
      <t>jednorazowe zapomogi z tytułu urodzenia dziecka ( 49 świadczeń)</t>
    </r>
  </si>
  <si>
    <r>
      <t xml:space="preserve">-   </t>
    </r>
    <r>
      <rPr>
        <sz val="12"/>
        <rFont val="Times New Roman"/>
        <family val="1"/>
      </rPr>
      <t>zaliczki alimentacyjne ( 221 zaliczek)</t>
    </r>
  </si>
  <si>
    <t>Pomocą objęto 16 rodzin i wypłacono 116 świadczeń, w tym na:</t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</si>
  <si>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zasiłki stałe – 48 świadczenia dla 8 rodzin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</si>
  <si>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zasiłek okresowy - 25 świadczeń dla 8 rodzin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</si>
  <si>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składka na ubezpieczenie zdrowotne – 43 świadczeń dla 7 rodzin</t>
    </r>
  </si>
  <si>
    <t>Pomocą objęto 196 osób w tym na:</t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</si>
  <si>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inne: opłacanie przedszkoli, internatów i burs,  czynsz, energia, woda</t>
    </r>
  </si>
  <si>
    <t>Odpłatność za pobyt w Domu Pomocy Społecznej 24 świadczenia dla 4 osób</t>
  </si>
  <si>
    <t>W okresie od I -VI 2008 udzielono również pomocy w postaci pracy socjalnej dla 145 rodzin (402 osoby)</t>
  </si>
  <si>
    <t>Wypłacono 412  świadczeń  dla 89 rodzin</t>
  </si>
  <si>
    <t>w tym: usługi telekomunikacyjne, pocztowe, udział w szkoleniach, prowizje bankowe, wywóz śmieci</t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</si>
  <si>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opłaty za telefon stacjonarny</t>
    </r>
  </si>
  <si>
    <t xml:space="preserve">Wypłacono 44 zasiłków celowych dla 19 rodzin </t>
  </si>
  <si>
    <t>Wydano 9 072 posiłków dla 126 osób</t>
  </si>
  <si>
    <t>- stypendia szkolne ( 58 świadczeni stypendialne dla uczniów szkół podstawowych (34), gimnazjalnych (18) i ponadgimnazjalnych (6)</t>
  </si>
  <si>
    <t>- realizacja zajęć profilaktycznych w Gimnazjum w Kaźmierzu "Mówię NIE" w czasie ferii zimowych</t>
  </si>
  <si>
    <t>- szkolenie dla koordynatorów i realizatorów GPPN</t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</si>
  <si>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zakup kosiarki traktorka</t>
    </r>
  </si>
  <si>
    <t>Uchwała nr XVI/87/07 Rady Gminy Kaźmierz                                                                                          z dnia 12 listopada 2007 r.</t>
  </si>
  <si>
    <r>
      <t>Przyjęto cenę GUS 147,28 zł za m</t>
    </r>
    <r>
      <rPr>
        <vertAlign val="superscript"/>
        <sz val="8"/>
        <rFont val="Times New Roman CE"/>
        <family val="1"/>
      </rPr>
      <t>3</t>
    </r>
    <r>
      <rPr>
        <sz val="8"/>
        <rFont val="Times New Roman CE"/>
        <family val="1"/>
      </rPr>
      <t xml:space="preserve"> Komunikat Prezesa Głównego Urzędu Statystycznego z dnia 22.10.2007 r. (MP Nr 79, poz.846)</t>
    </r>
  </si>
  <si>
    <t>Uchwała nr XV/83/07 Rady Gminy Kaźmierz                                                                                               z dnia 29 października 2007 r.</t>
  </si>
  <si>
    <t>Rekompensaty utraconych dochodów w podatkach i opłatach lokalnych</t>
  </si>
  <si>
    <t>Uchwała nr XIV/72/07 Rady Gminy Kaźmierz                                                                                          z dnia 13 października 2007 r.</t>
  </si>
  <si>
    <t>Uchwała nr XV/101/03 Rady Gminy Kaźmierz z dnia 27 listopada 2003 r.</t>
  </si>
  <si>
    <t>Odsetki za nieterminowe regulowanie należności podatkowych</t>
  </si>
  <si>
    <r>
      <t xml:space="preserve">Wpływy z opłaty planistycznej </t>
    </r>
    <r>
      <rPr>
        <b/>
        <sz val="8"/>
        <rFont val="Times New Roman CE"/>
        <family val="0"/>
      </rPr>
      <t>200.000,00</t>
    </r>
    <r>
      <rPr>
        <sz val="8"/>
        <rFont val="Times New Roman CE"/>
        <family val="1"/>
      </rPr>
      <t xml:space="preserve">, opłata adiacencka i podziałowa </t>
    </r>
    <r>
      <rPr>
        <b/>
        <sz val="8"/>
        <rFont val="Times New Roman CE"/>
        <family val="0"/>
      </rPr>
      <t>300.000,00</t>
    </r>
    <r>
      <rPr>
        <sz val="8"/>
        <rFont val="Times New Roman CE"/>
        <family val="1"/>
      </rPr>
      <t xml:space="preserve"> z opłat za wpis i zmianę wpisu do ewidencji działalności gospodarczej </t>
    </r>
    <r>
      <rPr>
        <b/>
        <sz val="8"/>
        <rFont val="Times New Roman CE"/>
        <family val="0"/>
      </rPr>
      <t>5.000,00</t>
    </r>
    <r>
      <rPr>
        <b/>
        <sz val="8"/>
        <rFont val="Times New Roman CE"/>
        <family val="1"/>
      </rPr>
      <t xml:space="preserve">, </t>
    </r>
    <r>
      <rPr>
        <sz val="8"/>
        <rFont val="Times New Roman CE"/>
        <family val="1"/>
      </rPr>
      <t>za zajęcie pasa</t>
    </r>
    <r>
      <rPr>
        <b/>
        <sz val="8"/>
        <rFont val="Times New Roman CE"/>
        <family val="1"/>
      </rPr>
      <t xml:space="preserve"> </t>
    </r>
    <r>
      <rPr>
        <sz val="8"/>
        <rFont val="Times New Roman CE"/>
        <family val="1"/>
      </rPr>
      <t>drogowego</t>
    </r>
    <r>
      <rPr>
        <b/>
        <sz val="8"/>
        <rFont val="Times New Roman CE"/>
        <family val="1"/>
      </rPr>
      <t xml:space="preserve"> </t>
    </r>
    <r>
      <rPr>
        <b/>
        <sz val="8"/>
        <rFont val="Times New Roman CE"/>
        <family val="0"/>
      </rPr>
      <t>1.460,00</t>
    </r>
  </si>
  <si>
    <t>Załącznik do pisma Ministra Finansów z dnia 10.10.2007 r., znak ST3-4820-26/2007</t>
  </si>
  <si>
    <t>Środki z kapitalizacji odsetek na kontach bankowych</t>
  </si>
  <si>
    <t>Dochody z tytułu zwrotu za CO w Szkole Podstawowej w Bytyniu oraz za wynajem gruntu pod reklamę</t>
  </si>
  <si>
    <t>Uchwała nr XV/78/07 Rady Gminy Kaźmierz                                                                                     z dnia 29 października  2007 r.</t>
  </si>
  <si>
    <t>Refundacja zastępczej służby wojskowej</t>
  </si>
  <si>
    <t>Dofinansowanie projektu w ramach Priorytetu 3 z środków ZPORR</t>
  </si>
  <si>
    <t>Dofinansowanie projektu w ramach Priorytetu 3 z środków budżetu Państwa</t>
  </si>
  <si>
    <t>Kapitalizacja odsetek na koncie bankowym GZO</t>
  </si>
  <si>
    <t>Refundacja programu Szwajcarski Zegarek</t>
  </si>
  <si>
    <t>Należności z tytułu dochodów związanych z realizacją zadań z zakresu wypłaty zaliczek alimentacyjnych.</t>
  </si>
  <si>
    <t>Wpływ z opłaty produktowej</t>
  </si>
  <si>
    <t>Wpływy z opłat za toalety publiczne</t>
  </si>
  <si>
    <t>Wpływ z tytułu  pomocy finansowej udzielanej między jednostkami samorządu terytorialnego na dofinansowanie własnych zadań bieżących</t>
  </si>
  <si>
    <t>Dochody za dzierżawę polnych obwodów łowieckich -  rozliczenie następuje w III kwartale każdego roku</t>
  </si>
  <si>
    <t>Dotacja celowa na zwrot części podatku akcyzowego zawartego w cenie oleju napędowego wykorzystywanego do produkcji rolnej przez producentów rolnych (pismo Wojewody Wielkopolskiego znak FB.I-3.3011-194/08 z dn.12.05.2008)</t>
  </si>
  <si>
    <t>Dofinansowanie do budowy drogi dojazdowej do gruntów rolnych Gaj Wielki - Jankowice (Umowa dofinansowania Nr 139/2008 ze środków finansowych Funduszu Ochrony Gruntów Rolnych z dn.15.04.2008 r.)</t>
  </si>
  <si>
    <r>
      <t xml:space="preserve">Opłaty za grunty oddane w użytkowanie wieczyste </t>
    </r>
    <r>
      <rPr>
        <b/>
        <sz val="8"/>
        <rFont val="Times New Roman CE"/>
        <family val="0"/>
      </rPr>
      <t>22.630,62</t>
    </r>
    <r>
      <rPr>
        <sz val="8"/>
        <rFont val="Times New Roman CE"/>
        <family val="1"/>
      </rPr>
      <t xml:space="preserve"> i  trwały zarząd </t>
    </r>
    <r>
      <rPr>
        <b/>
        <sz val="8"/>
        <rFont val="Times New Roman CE"/>
        <family val="0"/>
      </rPr>
      <t>17.146,26                                                                                            Zaległości : -</t>
    </r>
    <r>
      <rPr>
        <sz val="8"/>
        <rFont val="Times New Roman CE"/>
        <family val="0"/>
      </rPr>
      <t xml:space="preserve"> wieczyste użytkowanie</t>
    </r>
    <r>
      <rPr>
        <b/>
        <sz val="8"/>
        <rFont val="Times New Roman CE"/>
        <family val="0"/>
      </rPr>
      <t xml:space="preserve"> 2.960,71</t>
    </r>
  </si>
  <si>
    <r>
      <t xml:space="preserve">Za dzierżawę </t>
    </r>
    <r>
      <rPr>
        <sz val="8"/>
        <rFont val="Times New Roman CE"/>
        <family val="1"/>
      </rPr>
      <t xml:space="preserve">gruntów pod wieżą telefonii komórkowej </t>
    </r>
    <r>
      <rPr>
        <b/>
        <sz val="8"/>
        <rFont val="Times New Roman CE"/>
        <family val="0"/>
      </rPr>
      <t>20.262,49</t>
    </r>
    <r>
      <rPr>
        <sz val="8"/>
        <rFont val="Times New Roman CE"/>
        <family val="1"/>
      </rPr>
      <t xml:space="preserve">,  za najem lokali użytkowych </t>
    </r>
    <r>
      <rPr>
        <b/>
        <sz val="8"/>
        <rFont val="Times New Roman CE"/>
        <family val="0"/>
      </rPr>
      <t xml:space="preserve">4.560,00, </t>
    </r>
    <r>
      <rPr>
        <sz val="8"/>
        <rFont val="Times New Roman CE"/>
        <family val="0"/>
      </rPr>
      <t>inne</t>
    </r>
    <r>
      <rPr>
        <b/>
        <sz val="8"/>
        <rFont val="Times New Roman CE"/>
        <family val="0"/>
      </rPr>
      <t xml:space="preserve"> 3.039,93</t>
    </r>
  </si>
  <si>
    <t>Dotacja celowa na dofinansowanie świadczeń pomocy materialnej dla uczniów o charakterze socjalnym (pismo Wojewody Wielkopolskiego znak FB.I-3.3011-148/08 z dn.14.04.2008 r.)</t>
  </si>
  <si>
    <t>Dotacja celowa na dofinansowanie pracodawcom kosztów przygotowania zawodowego młodocianych pracowników (pisma Wojewody Wielkopolskiego z dnia 19.10.2007 r., znak FB.I-3.3010-25/07, z dnia 21.02.2008 r., znak FB.I-3.3010-3/08, z dnia 30.05.2008 r., znak FB.I-3.3011-216/08)</t>
  </si>
  <si>
    <t>Dotacja celowa na zakończenie dwuletniego programu pilotażowego nauczania języka angielskiego od pierwszej klasy szkoły podstawowej w okresie styczeń-sierpień 2008r. (pismo Wojewody Wielkopolskiego znak FB.I-3.3011-170/08 z dn.24.04.2008 r.)</t>
  </si>
  <si>
    <t>Dotacja na świadczenia rodzinne oraz składki na ubezpieczenia emerytalne i rentowe z ubezpieczenia społecznego oraz na zaliczki alimentacyjne (pisma Wojewody Wielkopolskiego z dnia 19.10.2007 r., znak FB.I-3.3010-25/07 i  z dnia 21.02.2008 r., znak FB.I-3.3010-3/08)</t>
  </si>
  <si>
    <t>Dotacja na składki na ubezpieczenie zdrowotne (pisma Wojewody Wielkopolskiego z dnia 19.10.2007 r., znak FB.I-3.3010-25/07 i  z dnia 21.02.2008 r., znak FB.I-3.3010-3/08)</t>
  </si>
  <si>
    <t>Dotacja na zasiłki i pomoc w naturze oraz składki na ubezpieczenia społeczne (pisma Wojewody Wielkopolskiego z dnia 19.10.2007 r., znak FB.I-3.3010-25/07 i  z dnia 21.02.2008 r., znak FB.I-3.3010-3/08)</t>
  </si>
  <si>
    <t>Dotacja na utrzymanie Gminnego Ośrodka Pomocy Społecznej (pisma Wojewody Wielkopolskiego z dnia 19.10.2007 r., znak FB.I-3.3010-25/07, z dnia 21.02.2008 r., znak FB.I-3.3010-3/08 i z dnia 21.05.2008 r., znak FB.I-3.3011-76/08)</t>
  </si>
  <si>
    <r>
      <t>Umorzenia</t>
    </r>
    <r>
      <rPr>
        <sz val="8"/>
        <rFont val="Times New Roman CE"/>
        <family val="1"/>
      </rPr>
      <t xml:space="preserve"> - 669,00                                                                                                                                                             </t>
    </r>
    <r>
      <rPr>
        <b/>
        <sz val="8"/>
        <rFont val="Times New Roman CE"/>
        <family val="0"/>
      </rPr>
      <t>Zaległości</t>
    </r>
    <r>
      <rPr>
        <sz val="8"/>
        <rFont val="Times New Roman CE"/>
        <family val="1"/>
      </rPr>
      <t xml:space="preserve"> - 42.757,84                                                                                               Wystawiono 340 upomnień na kwotę 74.260,61 oraz 40 tytułów wykonawczych na kwotę 14.719,45</t>
    </r>
  </si>
  <si>
    <r>
      <t>Umorzenia</t>
    </r>
    <r>
      <rPr>
        <sz val="8"/>
        <rFont val="Times New Roman CE"/>
        <family val="1"/>
      </rPr>
      <t xml:space="preserve"> - 764,00                                                                                                                                                             </t>
    </r>
    <r>
      <rPr>
        <b/>
        <sz val="8"/>
        <rFont val="Times New Roman CE"/>
        <family val="0"/>
      </rPr>
      <t>Zaległości</t>
    </r>
    <r>
      <rPr>
        <sz val="8"/>
        <rFont val="Times New Roman CE"/>
        <family val="1"/>
      </rPr>
      <t xml:space="preserve"> - 11.792,96                                                                                               Wystawiono 105 upomnień na kwotę 34.231,17 oraz 10 tytułów wykonawczych na kwotę 5.594,40</t>
    </r>
  </si>
  <si>
    <r>
      <t>Zaległości</t>
    </r>
    <r>
      <rPr>
        <sz val="8"/>
        <rFont val="Times New Roman CE"/>
        <family val="1"/>
      </rPr>
      <t xml:space="preserve"> - 1,00                                                                                </t>
    </r>
  </si>
  <si>
    <r>
      <t>Zaległości</t>
    </r>
    <r>
      <rPr>
        <sz val="8"/>
        <rFont val="Times New Roman CE"/>
        <family val="1"/>
      </rPr>
      <t xml:space="preserve"> - 7.799,47                                                                                       Wystawiono 4 upomnienia na kwotę 6.653,80 oraz 2 tytuły wykonawcze na kwotę 4.650,00</t>
    </r>
  </si>
  <si>
    <t xml:space="preserve">Odsetki za nieterminowe regulowanie należności podatkowych.                                                                                                  </t>
  </si>
  <si>
    <r>
      <t>Wpływy z opłaty eksploatacyjnej za wydobyte kopaliny ze złóż na terenie Gminy Kaźmierz za IV kwartał 2007r. oraz za jeden kwartał roku 2008 (wydobycie 13.066,34 tys.m</t>
    </r>
    <r>
      <rPr>
        <vertAlign val="superscript"/>
        <sz val="8"/>
        <rFont val="Times New Roman CE"/>
        <family val="0"/>
      </rPr>
      <t>3</t>
    </r>
    <r>
      <rPr>
        <sz val="8"/>
        <rFont val="Times New Roman CE"/>
        <family val="0"/>
      </rPr>
      <t xml:space="preserve">). </t>
    </r>
  </si>
  <si>
    <r>
      <t xml:space="preserve">Liczba zezwoleń:                                                                  * </t>
    </r>
    <r>
      <rPr>
        <b/>
        <sz val="8"/>
        <rFont val="Times New Roman CE"/>
        <family val="0"/>
      </rPr>
      <t>zezwolenie na sprzedaż i spożycie poza miejscem sprzedaży (sklepy )</t>
    </r>
    <r>
      <rPr>
        <sz val="8"/>
        <rFont val="Times New Roman CE"/>
        <family val="0"/>
      </rPr>
      <t xml:space="preserve"> - do 4,5% - </t>
    </r>
    <r>
      <rPr>
        <b/>
        <sz val="8"/>
        <rFont val="Times New Roman CE"/>
        <family val="0"/>
      </rPr>
      <t>30,</t>
    </r>
    <r>
      <rPr>
        <sz val="8"/>
        <rFont val="Times New Roman CE"/>
        <family val="0"/>
      </rPr>
      <t xml:space="preserve"> -4,5% - 18% </t>
    </r>
    <r>
      <rPr>
        <b/>
        <sz val="8"/>
        <rFont val="Times New Roman CE"/>
        <family val="0"/>
      </rPr>
      <t xml:space="preserve">25, </t>
    </r>
    <r>
      <rPr>
        <sz val="8"/>
        <rFont val="Times New Roman CE"/>
        <family val="0"/>
      </rPr>
      <t xml:space="preserve">- pow.18% - </t>
    </r>
    <r>
      <rPr>
        <b/>
        <sz val="8"/>
        <rFont val="Times New Roman CE"/>
        <family val="0"/>
      </rPr>
      <t>18</t>
    </r>
    <r>
      <rPr>
        <sz val="8"/>
        <rFont val="Times New Roman CE"/>
        <family val="0"/>
      </rPr>
      <t xml:space="preserve">                                                                                                                            * </t>
    </r>
    <r>
      <rPr>
        <b/>
        <sz val="8"/>
        <rFont val="Times New Roman CE"/>
        <family val="0"/>
      </rPr>
      <t>zezwolenie na sprzedaż i spożycie poza miejscem sprzedaży (gastronomia)</t>
    </r>
    <r>
      <rPr>
        <sz val="8"/>
        <rFont val="Times New Roman CE"/>
        <family val="0"/>
      </rPr>
      <t xml:space="preserve">  - do 4,5% - </t>
    </r>
    <r>
      <rPr>
        <b/>
        <sz val="8"/>
        <rFont val="Times New Roman CE"/>
        <family val="0"/>
      </rPr>
      <t>4,</t>
    </r>
    <r>
      <rPr>
        <sz val="8"/>
        <rFont val="Times New Roman CE"/>
        <family val="0"/>
      </rPr>
      <t xml:space="preserve">  -4,5% - 18% - </t>
    </r>
    <r>
      <rPr>
        <b/>
        <sz val="8"/>
        <rFont val="Times New Roman CE"/>
        <family val="0"/>
      </rPr>
      <t>2,</t>
    </r>
    <r>
      <rPr>
        <sz val="8"/>
        <rFont val="Times New Roman CE"/>
        <family val="0"/>
      </rPr>
      <t xml:space="preserve"> - pow.18% - </t>
    </r>
    <r>
      <rPr>
        <b/>
        <sz val="8"/>
        <rFont val="Times New Roman CE"/>
        <family val="0"/>
      </rPr>
      <t xml:space="preserve">3                                                                                                                                                    </t>
    </r>
    <r>
      <rPr>
        <sz val="8"/>
        <rFont val="Times New Roman CE"/>
        <family val="0"/>
      </rPr>
      <t xml:space="preserve"> * </t>
    </r>
    <r>
      <rPr>
        <b/>
        <sz val="8"/>
        <rFont val="Times New Roman CE"/>
        <family val="0"/>
      </rPr>
      <t>zezwolenia jednorazowe</t>
    </r>
    <r>
      <rPr>
        <sz val="8"/>
        <rFont val="Times New Roman CE"/>
        <family val="0"/>
      </rPr>
      <t xml:space="preserve">  - do 4,5% - </t>
    </r>
    <r>
      <rPr>
        <b/>
        <sz val="8"/>
        <rFont val="Times New Roman CE"/>
        <family val="0"/>
      </rPr>
      <t>4</t>
    </r>
    <r>
      <rPr>
        <sz val="8"/>
        <rFont val="Times New Roman CE"/>
        <family val="0"/>
      </rPr>
      <t xml:space="preserve">                                                                                                                    *</t>
    </r>
    <r>
      <rPr>
        <b/>
        <sz val="8"/>
        <rFont val="Times New Roman CE"/>
        <family val="0"/>
      </rPr>
      <t xml:space="preserve"> katering</t>
    </r>
    <r>
      <rPr>
        <sz val="8"/>
        <rFont val="Times New Roman CE"/>
        <family val="0"/>
      </rPr>
      <t xml:space="preserve"> - do 4,5% - </t>
    </r>
    <r>
      <rPr>
        <b/>
        <sz val="8"/>
        <rFont val="Times New Roman CE"/>
        <family val="0"/>
      </rPr>
      <t>0,</t>
    </r>
    <r>
      <rPr>
        <sz val="8"/>
        <rFont val="Times New Roman CE"/>
        <family val="0"/>
      </rPr>
      <t xml:space="preserve">  -4,5% - </t>
    </r>
    <r>
      <rPr>
        <b/>
        <sz val="8"/>
        <rFont val="Times New Roman CE"/>
        <family val="0"/>
      </rPr>
      <t>0</t>
    </r>
  </si>
  <si>
    <t xml:space="preserve">Odsetki od nieterminowych wpłat opłaty planistycznej.                                                                                                       </t>
  </si>
  <si>
    <t>Świadczenia rodzinne oraz składki na ubezpieczenia emerytalne i rentowe z ubezpieczenia społecznego</t>
  </si>
  <si>
    <t>Składki na ubezpieczenie zdrowotne opłacane za osoby pobierające niektóre świadczenia z pomocy społecznej</t>
  </si>
  <si>
    <t>Zasiłki i pomoc w naturze oraz składki na ubezpieczenia społeczne</t>
  </si>
  <si>
    <t>Wykoanaie na 30.06.2008 r.</t>
  </si>
  <si>
    <t>Dochody po zmianach</t>
  </si>
  <si>
    <t>Wydatki po zmianach</t>
  </si>
  <si>
    <t>Większość  wydatków (bez inwestycji) stanowią płace i ich pochodne nauczycieli</t>
  </si>
  <si>
    <t xml:space="preserve">oraz pracowników obsługi dodatki mieszkaniowe, odpis na Fundusz Socjalny </t>
  </si>
  <si>
    <t>- wynagrodzenia dla opiekunów dzieci dowożonych</t>
  </si>
  <si>
    <t>Rozdział ten obejmuje  koszty funkcjonowania Gminnego Zespołu Oświatowego.</t>
  </si>
  <si>
    <t>Wydatki w tym rozdziale obejmują:</t>
  </si>
  <si>
    <t>- płace i ich pochodne, dodatkowe wynagrodzenie roczne odpis na</t>
  </si>
  <si>
    <t xml:space="preserve">   Fundusz Socjalny</t>
  </si>
  <si>
    <t>- zakup materiałów biurowych, druków, czasopism fachowych</t>
  </si>
  <si>
    <t>- usługi naprawcze (prace systemowe i serwis komputerów)</t>
  </si>
  <si>
    <t>- zakup usług (koszty prowizji bankowych, licencja oprogramowania SIGID, szkolenia)</t>
  </si>
  <si>
    <t>- wydatki na dokształcanie i doskonalenie zawodowe</t>
  </si>
  <si>
    <t>- wydatki przeznaczone na odpis Funduszu Socjalnego dla emerytów i rencistów</t>
  </si>
  <si>
    <t>851 OCHRONA ZDROWIA</t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</si>
  <si>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 xml:space="preserve"> wydatki na sołectwa w gminie (drobne remonty budynków świetlic, energia, gaz, woda, wywóz nieczystości, usł.kosiarki)</t>
    </r>
  </si>
  <si>
    <t>sprzęt muzyczny</t>
  </si>
  <si>
    <t>pochodne od wynagrodzeń pracowników zatrudnionych na umowę o pracę</t>
  </si>
  <si>
    <t>pochodne od wynagrodzeń pracowników zatrudnionych na umowę zlecenie i o dzieło</t>
  </si>
  <si>
    <t>pracowników zatrudnionych na umowę zlecenie i o dzieło</t>
  </si>
  <si>
    <r>
      <t>-</t>
    </r>
    <r>
      <rPr>
        <sz val="7"/>
        <rFont val="Times New Roman"/>
        <family val="1"/>
      </rPr>
      <t>        </t>
    </r>
    <r>
      <rPr>
        <sz val="12"/>
        <rFont val="Times New Roman"/>
        <family val="1"/>
      </rPr>
      <t>Gminnej Biblioteki Publicznej w Kaźmierzu</t>
    </r>
  </si>
  <si>
    <t>926  KULTURA FIZYCZNA I SPORT</t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</si>
  <si>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dotacja dla organizacji pozarządowej UKS Kaźmierz "SOKÓŁ" (Umowa Nr 1/2005 z dnia 28.04.2005r.)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</si>
  <si>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wynagrodzenie gospodarzy boisk sportowych i instruktorów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</si>
  <si>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utrzymanie płyty boiska w Kaźmierzu i Bytyniu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</si>
  <si>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wydatki związane z organizacją turniejów i festynów sportowych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</si>
  <si>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materiały bieżącego utrzymania i drobnych remontów obiektów sportowych na terenie Gminy</t>
    </r>
  </si>
  <si>
    <t>Dz</t>
  </si>
  <si>
    <t>Rozdz</t>
  </si>
  <si>
    <t>§</t>
  </si>
  <si>
    <t>Treść</t>
  </si>
  <si>
    <t>Zmiany</t>
  </si>
  <si>
    <t>Plan dochodów po zmianach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</si>
  <si>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</si>
  <si>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</si>
  <si>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</si>
  <si>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</si>
  <si>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</si>
  <si>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</si>
  <si>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</si>
  <si>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</si>
  <si>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</si>
  <si>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</si>
  <si>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</si>
  <si>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</si>
  <si>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%</t>
  </si>
  <si>
    <t>PROJEKT</t>
  </si>
  <si>
    <t>010</t>
  </si>
  <si>
    <t>Rolnictwo i łowiectwo</t>
  </si>
  <si>
    <t>01010</t>
  </si>
  <si>
    <t>Infrastruktura wodociągowa i sanitacji wsi</t>
  </si>
  <si>
    <t>0970</t>
  </si>
  <si>
    <t>Wpływy z różnych dochodów</t>
  </si>
  <si>
    <t>01095</t>
  </si>
  <si>
    <t>Pozostała działalność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</si>
  <si>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</si>
  <si>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</si>
  <si>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Dotacje celowe otrzymane z budżetu państwa na realizację zadań bieżących z zakresu administracji rządowej oraz innych zadań zleconych gminie ustawami</t>
  </si>
  <si>
    <t>020</t>
  </si>
  <si>
    <t>Leśnictwo</t>
  </si>
  <si>
    <t>02095</t>
  </si>
  <si>
    <t>Transport i łączność</t>
  </si>
  <si>
    <t>Drogi publiczne powiatowe</t>
  </si>
  <si>
    <t>Dotacje otrzymane z powiatu na  inwestycje i zakupy inwestycyjne realizowane na podstawie porozumień (umów) między jednostkami samorządu terytorialnego.</t>
  </si>
  <si>
    <t>Drogi publiczne gminne</t>
  </si>
  <si>
    <t>Dotacje otrzymane z funduszy celowych na finansowanie lub dofinansowanie kosztów realizacji inwestycji i zakupów inwestycyjnych jednostek sektora finansów publicznych</t>
  </si>
  <si>
    <t>Wpływy z tytułu pomocy finansowej udzielanej między jednostkami samorządu terytorialnego na dofinansowanie własnych zadań inwestycyjnych i zakupów inwestycyjnych.</t>
  </si>
  <si>
    <t>Gospodarka mieszkaniowa</t>
  </si>
  <si>
    <t>Gospodarka gruntami i nieruchomościami</t>
  </si>
  <si>
    <t>0470</t>
  </si>
  <si>
    <t>Wpływy z opłat za zarząd, użytkowanie i użytkowanie wieczyste nieruchomości</t>
  </si>
  <si>
    <t>0770</t>
  </si>
  <si>
    <t>Wpłaty z tytułu odpłatnego nabycia prawa własności oraz prawa użytkowania wieczystego nieruchomości</t>
  </si>
  <si>
    <t>0910</t>
  </si>
  <si>
    <t>Odsetki od nieterminowych wpłat z tytułu podatków i opłat</t>
  </si>
  <si>
    <t xml:space="preserve">Odsetki od nieterminowych wpłat                                                      </t>
  </si>
  <si>
    <t>0920</t>
  </si>
  <si>
    <t>Pozostałe odsetki</t>
  </si>
  <si>
    <t>Odsetki z ratalnej sprzedaży mieszkań i budynków</t>
  </si>
  <si>
    <t>Administracja publiczna</t>
  </si>
  <si>
    <t>Urzędy wojewódzkie</t>
  </si>
  <si>
    <t>710  DZIAŁALNOŚĆ USŁUGOWA</t>
  </si>
  <si>
    <t>- wynagrodzenie komisji urbanistycznej (zgodnie z Zarządzeniem nr 32/06 Wójta Gminy Kaźmierz z dnia 20.03.2006 r.)</t>
  </si>
  <si>
    <t>750  ADMINISTRACJA PUBLICZNA</t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</si>
  <si>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realizację zadań zleconych i powierzonych gminie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</si>
  <si>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ZUS i Fundusz Pracy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</si>
  <si>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odpis na zakładowy fundusz socjalny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</si>
  <si>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zakup mebli</t>
    </r>
  </si>
  <si>
    <t>W trakcie 2007 r. kwota rezerwy ulegała zmianie:                                                               * zgodnie z Uchwałą nr VIII/48/07 Rady Gminy Kaźmierz z dnia 21.06.2007 r. została zwiększona o kwotę 50.000,00                                                                                                               * zgodnie z Uchwałą nrXI/59/07 Rady Gminy Kaźmierz z dnia 17.08.2007 r. została zmniejszona o kwotę 35.015,00 z przeznaczeniem na dotację inwestycyjną dla Zakładu Usług Komunalnych                                                                                                                * zgodnie z Uchwałą nr XIII/64/07 Rady Gminy Kaźmierz z dnia 27.09.2007 r. została zwiększona o kwotę 120.000,00                                                                          * zgodnie z Uchwałą nr XVII/93/07 Rady Gminy Kaźmierz z dnia 28.11.2007 r. została zmniejszona o kwotę 134.686,00 z przeznaczeniem na bieżące utrzymanie plaówek oświatowych</t>
  </si>
  <si>
    <t>- zakup węgla i miału</t>
  </si>
  <si>
    <t>- wydatki na zakupy inwestycyjne ( zestaw komputerowy, notbook)</t>
  </si>
  <si>
    <t>- wydatki inwestycyjne ( oświetlenie )</t>
  </si>
  <si>
    <t>- wydatki inwestycyjne ( ogrodzenie )</t>
  </si>
  <si>
    <t>- wydatki na zakupy inwestycyjne ( 2 zestawy komputerowe)</t>
  </si>
  <si>
    <t>- zakup art.papierniczych ( papier do drukarek)</t>
  </si>
  <si>
    <t>- wydatki bezosobowe komisji kwalifikacyjnej i egzaminacyjnej powołanej do rozpatrzenia wniosków nauczycieli o wyższy stopień awansu zawodowego</t>
  </si>
  <si>
    <t>- zakup lektur do bibliotek szkolnych szkół podstawowych i gimnazjum</t>
  </si>
  <si>
    <t>- zwrot pracodawcom kosztów przygotowania zawodowego młodocianych pracowników</t>
  </si>
  <si>
    <t>- odsetki kredytowe Umowa Nr 12309/2000273/2003 na inwestycję gminne.</t>
  </si>
  <si>
    <t>758  REZERWY OGÓLNE I CELOWE</t>
  </si>
  <si>
    <t>Była przeznaczona na:</t>
  </si>
  <si>
    <t>* pomoc finansową dla Powiatu Szamotulskiego na budowę chodników przy drogach powiatowych - 53.901,00</t>
  </si>
  <si>
    <t>* pomoc finansową dla Powiatu Szamotulskiego na remont drogi powiatowej nr 1866P Pólko-Komorowo - 30.000,00</t>
  </si>
  <si>
    <t>* remont świetlic wiejskich na terenie gminy - 5.779,00</t>
  </si>
  <si>
    <t xml:space="preserve">dodatki specjalne (wiejski i mieszkaniowy) ,odpis na Fundusz Socjalny </t>
  </si>
  <si>
    <t xml:space="preserve">          813,00</t>
  </si>
  <si>
    <t>- olej opałowy</t>
  </si>
  <si>
    <t>- pomoce dydaktyczne i książki</t>
  </si>
  <si>
    <t>- energia, woda</t>
  </si>
  <si>
    <t>- pomoce naukowe, dydaktyczne</t>
  </si>
  <si>
    <t>- energia, woda, gaz</t>
  </si>
  <si>
    <t>Większość  wydatków w tym rozdziale stanowią płace i ich pochodne,</t>
  </si>
  <si>
    <t>- materiały na potrzeby bieżące</t>
  </si>
  <si>
    <t>- energia, woda, CO</t>
  </si>
  <si>
    <t xml:space="preserve">Oddział Przedszkolny w Gaju Wielkim </t>
  </si>
  <si>
    <t>-  płace i ich pochodne, dodatki specjalne (wiejski i mieszkaniowy),</t>
  </si>
  <si>
    <t xml:space="preserve">    odpis na Fundusz Socjalny </t>
  </si>
  <si>
    <t>- zakup materiałów na bieżące potrzeby</t>
  </si>
  <si>
    <t xml:space="preserve">Oddział Przedszkolny w Bytyniu </t>
  </si>
  <si>
    <t>- płace i ich pochodne, dodatki specjalne, odpis na fundusz socjalny</t>
  </si>
  <si>
    <t>- zakup energii, wody i gazu</t>
  </si>
  <si>
    <t>- usługi remontowe</t>
  </si>
  <si>
    <t>- zakup usług pozostałych(usługi telekomunikacyjne, RTV, szkolenia)</t>
  </si>
  <si>
    <t xml:space="preserve">Oddział Przedszkolny wSokolnikach Wielkich </t>
  </si>
  <si>
    <t>Przedszkole Kaźmierzu</t>
  </si>
  <si>
    <t>- zakup pomocy naukowych i dydaktycznych</t>
  </si>
  <si>
    <t>- zakup energii, CO, wody i gazu</t>
  </si>
  <si>
    <t xml:space="preserve">Wykonanie </t>
  </si>
  <si>
    <t xml:space="preserve">WYDATKI </t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</si>
  <si>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paliwo dla miejscowej jednostki policji (Umowa z Komendą Wojewódzką Policji  z dnia 05.04.2007 r.)</t>
    </r>
  </si>
  <si>
    <t>a) zaopatrywania gminy w wodę – rozdział 40002</t>
  </si>
  <si>
    <t>b) utrzymania dróg publicznych gminnych – rozdział 60016</t>
  </si>
  <si>
    <t>c) gospodarki mieszkaniowej – rozdział 70005</t>
  </si>
  <si>
    <t>d) gospodarki ściekowa - rozdział 90001</t>
  </si>
  <si>
    <t>e) gospodarki odpadami - rozdział 90003</t>
  </si>
  <si>
    <t>f) utrzymania zieleni na terenie gminy - rozdział 90004</t>
  </si>
  <si>
    <t>g) pozostałej działalności gospodarki komunalnej - rozdział  90095</t>
  </si>
  <si>
    <t xml:space="preserve">      </t>
  </si>
  <si>
    <t>a) przychody</t>
  </si>
  <si>
    <t>- przychody własne</t>
  </si>
  <si>
    <t>- dotacje przedmiotowe z budżetu gminy na finansowanie działalności podstawowej</t>
  </si>
  <si>
    <t>b) wydatki</t>
  </si>
  <si>
    <t>- dotacje przedmiotowe z budżetu gminy na finansowanie działalności podstawowej (wartość netto - bez podatku Vat)</t>
  </si>
  <si>
    <t>0360</t>
  </si>
  <si>
    <t>Podatek od spadków i darowizn</t>
  </si>
  <si>
    <t>Podatek od spadków i darowizn.Wykonanie zgodne z sprawozdaniem Urzędu Skarbowego.</t>
  </si>
  <si>
    <t>0430</t>
  </si>
  <si>
    <t>Wpływy z opłaty targowej</t>
  </si>
  <si>
    <t>5.</t>
  </si>
  <si>
    <t>Gminna Biblioteka Publiczna</t>
  </si>
  <si>
    <t>6.</t>
  </si>
  <si>
    <t>Gminny Ośrodek Kultury</t>
  </si>
  <si>
    <t>z tytułu dostaw towarów i usług</t>
  </si>
  <si>
    <t>należności z tytułu wypłaty zaliczek alimentacyjnych</t>
  </si>
  <si>
    <t>Koszty</t>
  </si>
  <si>
    <t xml:space="preserve">Plan na 2007 rok </t>
  </si>
  <si>
    <t>Plan pozmianach</t>
  </si>
  <si>
    <t>Materiały</t>
  </si>
  <si>
    <t>- środki czystości</t>
  </si>
  <si>
    <t>- koszty poniesione na środki czystości</t>
  </si>
  <si>
    <t>- czasopisma, biuletyny, znaczki</t>
  </si>
  <si>
    <t>- koszty zakupu znaczków; prasy (dzienniki, tygodniki, miesięczniki, prasa regionalna) dla biblioteki  i dwóch filii bibliotecznych,</t>
  </si>
  <si>
    <t>- materiały biurowe</t>
  </si>
  <si>
    <t>- pozostałe materiały</t>
  </si>
  <si>
    <t>Zakup książek</t>
  </si>
  <si>
    <t>Energia:</t>
  </si>
  <si>
    <t>- elektrycza</t>
  </si>
  <si>
    <t>- koszty poniesione na zakup energii elektrycznej dla Biblioteki Publicznej i pomieszczeń kinowych</t>
  </si>
  <si>
    <t>- gaz</t>
  </si>
  <si>
    <t>Remonty</t>
  </si>
  <si>
    <t>Usługi:</t>
  </si>
  <si>
    <t>- w zakresie czystości</t>
  </si>
  <si>
    <t>- koszty wywozu nieczystości stałych i płynnych,</t>
  </si>
  <si>
    <t>- telekomunikacyjne</t>
  </si>
  <si>
    <t>Plan dotacji po zmianach</t>
  </si>
  <si>
    <t>a) wydatki bieżące</t>
  </si>
  <si>
    <t>w tym na:</t>
  </si>
  <si>
    <t>b) wydatki majątkowe</t>
  </si>
  <si>
    <t>(konserwacja rowów:S8a w Gaju Wielkim, S-51 przy blokach i w parku rej.Kopanina, Pólko, Komorowo, Bt-13 Komorowo, Sokolniki Wielkie, Lu-6a w Pólku, konserwacja kanalizacji sanitarnej w Chlewiskach oraz rurociągu pod ul.Nowoiejska w Kaźmierzu, konserwacja drenowania Sokolniki Wielkie, Wierzchaczewo, Stramnica, Sokolniki Małe oraz rozbudowa rowu w Pólku)</t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</si>
  <si>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 xml:space="preserve">wykonanie badań modelowych dla oceny zasobów wód podziemnych </t>
    </r>
  </si>
  <si>
    <t>-     rozbudowa oczyszczalni ścieków w Kiączynie wraz z siecią kanalizacji sanitarnej (tzw.układ Kaźmierz - Kiączyn)</t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</si>
  <si>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odpis na Izby Rolnicze za I półrocze 2008 wraz z rozliczeniem nadpłaty za rok 2007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</si>
  <si>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 xml:space="preserve">zakup nawozu na tereny zieleni </t>
    </r>
  </si>
  <si>
    <t>-     podkrzesanie drzew i wycięcie suchych gałęzi we wsiach Kiączyn, Gorszewice, Pólko</t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</si>
  <si>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pomoc finansową dla Powiatu Szamotulskiego na remont drogi powiatowej nr 1868P Otorowo-Bytyń na odcinku Pólko-Piersko-Bytyń na długości ok.1 000 m (Porozumienie z dnia 02.04.2008 r.)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</si>
  <si>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budowę drogi dojazdowej do gruntów rolnych Gaj Wielki - Jankowice</t>
    </r>
  </si>
  <si>
    <t>Przebudowa dojazdu dla autobusu szkolnego w m.Piersko</t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</si>
  <si>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przebudowa ul.Okrężnej w Kaźmierzu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</si>
  <si>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dotacje inwestycyjna dla Zakładu Usług Komunalnych w Kaźmierzu na zakup samochodu do odbioru komunalnych nieczystości stałych (zgodnie z Uchwałą Nr XXII/120/08 Rady Gminy Kaźmierz z dn.22.04.2008 r)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</si>
  <si>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wykup działki w Sokolnikach Małych  nr 33/1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</si>
  <si>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wykup działki pod drogi: w Kaźmierzu  nr 1207/1, 1209, 1210, 312/2, 1500/10, 120/26,  w Radzynach 174/1, 174/11, 176/2, w Kiączynie 21/3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</si>
  <si>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ogłoszenia prasowe, opłaty notarialne, wypisy z rejestru gruntów, opłaty podziałowe, projekty decyzji, wyceny nieruchomości, mapy lokalizacyjne, projekt organizacji ruchuna drodze Kaźmierz-Gorszewice</t>
    </r>
  </si>
  <si>
    <t>- ogłoszenie w sprawie miejscoweych planów zagospodarowania przestrzennego oraz o zmianie studium zagospodarowania przestrzennego</t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</si>
  <si>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wynagrodzenia pracowników Urzędu Gminy  wraz z pochodnymi oraz dodatkowe wynagrodzenie roczne i delegacje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</si>
  <si>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szkolenia pracowników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</si>
  <si>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energię, wodę i gaz w budynku Urzędu Gminy A, B, C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</si>
  <si>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zakup usług telekomunikacyjnych i internetowych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</si>
  <si>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zakup akcesoriów komputerowych i materiałów papierniczych</t>
    </r>
  </si>
  <si>
    <t>-     wykonannie kosztorysu inwestorskiego na zadanie inwestycyjne                                                                                                                               pn." Rozbudowa budynku administracyjnego Urzędu Gminy w Kaźmierzu z uwzględnieniem dostosowania budynku dla osób niepełnosprawnych".</t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</si>
  <si>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wprowadzenie elektronicznego systemu obiegu dokumentów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</si>
  <si>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zakup usług pocztowych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</si>
  <si>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zakup usług bankowych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</si>
  <si>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zakup wydawnictw profesjonalnych i prasy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</si>
  <si>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zakup zestawu komputerowego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</si>
  <si>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wydatki poniesione na działalność i utrzymanie Urzędu Gminy (zakup materiałów biurowych, środki czystości i BHP, opłaty członkowskie, ubezpieczenia, przegląd, naprawa i konserwacja wyposażenia i urządzeń)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</si>
  <si>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zakup sprzętu i wyposażenia (klimatyzator, czajnik, aparaty telefoniczne, listwy zasilające)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</si>
  <si>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wydatki związane z promocją gminy (min.zakup sprzętu do wykonywania materiałów promocyjnych)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</si>
  <si>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wydatki bieżące biura Rady Gminy (diety radnych, przewodniczącego, członków komisji, art. na posiedzenie sesji i komisji, szkolenia, art.biurowe, delegacje, prowizje bankowe)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</si>
  <si>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projekt pomnika Powstańców Wielkopolskich w Kaźmierzu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</si>
  <si>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zakup gablot informacyjnych dla wszystkich sołectw Gminy Kaźmierz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</si>
  <si>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wydatki związane z organizacją imprez okolicznościowych: Dzień Dziecka, Dzień Kobiet, Dzień Seniora, integracyjne i  rekreacyjne na terenie sołectw gminnych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</si>
  <si>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działalność świetlicy gminnej przy ul.Prusa (LOK)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</si>
  <si>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budowa świetlicy wiejskiejw m.Kiączyn</t>
    </r>
  </si>
  <si>
    <r>
      <t>751</t>
    </r>
    <r>
      <rPr>
        <b/>
        <u val="single"/>
        <sz val="12"/>
        <rFont val="Times New Roman"/>
        <family val="1"/>
      </rPr>
      <t xml:space="preserve"> URZĘDY NACZELNYCH ORGANÓW WŁADZY PAŃSTWOWEJ, KONTROLI I OCHRONY PRAWA ORAZ SĄDOWNICTWA</t>
    </r>
  </si>
  <si>
    <t>- realizacja zadań rządowych zleconych gminom</t>
  </si>
  <si>
    <r>
      <t>754</t>
    </r>
    <r>
      <rPr>
        <b/>
        <sz val="7"/>
        <rFont val="Times New Roman"/>
        <family val="1"/>
      </rPr>
      <t xml:space="preserve">    </t>
    </r>
    <r>
      <rPr>
        <b/>
        <u val="single"/>
        <sz val="12"/>
        <rFont val="Times New Roman"/>
        <family val="1"/>
      </rPr>
      <t>BEZPIECZEŃSTWO PUBLICZNE I OCHRONA PRZECIWPOŻAROWA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</si>
  <si>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paliwo dla miejscowej jednostki policji (Umowa z Komendą Wojewódzką Policji  z dnia 02.02.2006 r.)</t>
    </r>
  </si>
  <si>
    <t xml:space="preserve">     -     dotacja celowa z budżetu na finansowanie lub dofinansowanie                                                                                                                                                                                                                                                                                                                                                     kosztów realizacji inwestycji i zakupów inwestycyjnych jednostek niezaliczanych do sektora finansów publicznych</t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</si>
  <si>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bieżące utrzymanie gminnych jednostek OSP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</si>
  <si>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organizację Turnieju Wiedzy Pożarniczej, Dnia Strażaka, spotkanie Młodzieżowych Drużyn Pożarniczych, zawodów strażackich</t>
    </r>
  </si>
  <si>
    <t>756 DOCHODY OD OSÓB PRAWNYCH, OD OSÓB FIZYCZNYCH I OD INNYCH JEDNOSTEK NIE POSIADAJĄCYCH OSOBOWOŚCI PRAWNEJ</t>
  </si>
  <si>
    <t>- inkaso sołtysów</t>
  </si>
  <si>
    <r>
      <t xml:space="preserve">- </t>
    </r>
    <r>
      <rPr>
        <sz val="12"/>
        <rFont val="Times New Roman"/>
        <family val="1"/>
      </rPr>
      <t>zakup druków</t>
    </r>
  </si>
  <si>
    <t xml:space="preserve">           89,67</t>
  </si>
  <si>
    <r>
      <t xml:space="preserve">- </t>
    </r>
    <r>
      <rPr>
        <sz val="12"/>
        <rFont val="Times New Roman"/>
        <family val="1"/>
      </rPr>
      <t>opłaty komornicze</t>
    </r>
  </si>
  <si>
    <t xml:space="preserve">757 OBSŁUGA PAPIERÓW WARTOŚCIOWYCH, KREDYTÓW I POŻYCZEK  JEDNOSTEK SAMORZĄDU TERYTORIALNEGO </t>
  </si>
  <si>
    <t>- odsetki kredytowe Umowa Nr 05/0839/FRIK/2005 ze środków Funduszu Rozwoju Inwestycji Komunalnych na inwestycję pn."Budowa gimnazjum wraz z salą gimnastyczną w Kaźmierzu".</t>
  </si>
  <si>
    <r>
      <t>·</t>
    </r>
    <r>
      <rPr>
        <sz val="7"/>
        <rFont val="Times New Roman"/>
        <family val="1"/>
      </rPr>
      <t>       </t>
    </r>
    <r>
      <rPr>
        <sz val="12"/>
        <rFont val="Times New Roman"/>
        <family val="1"/>
      </rPr>
      <t>szkolne programy profilaktyczne</t>
    </r>
  </si>
  <si>
    <r>
      <t>·</t>
    </r>
    <r>
      <rPr>
        <sz val="7"/>
        <rFont val="Times New Roman"/>
        <family val="1"/>
      </rPr>
      <t>       </t>
    </r>
    <r>
      <rPr>
        <sz val="12"/>
        <rFont val="Times New Roman"/>
        <family val="1"/>
      </rPr>
      <t>półkolonie zimowe</t>
    </r>
  </si>
  <si>
    <t>852  POMOC SPOŁECZNA</t>
  </si>
  <si>
    <t>Zasiłki rodzinne i dodatki do zasiłków</t>
  </si>
  <si>
    <r>
      <t>-</t>
    </r>
    <r>
      <rPr>
        <sz val="7"/>
        <rFont val="Times New Roman"/>
        <family val="1"/>
      </rPr>
      <t>    </t>
    </r>
    <r>
      <rPr>
        <sz val="12"/>
        <rFont val="Times New Roman"/>
        <family val="1"/>
      </rPr>
      <t>dodatki do zasiłków rodzinnych z tytułu:</t>
    </r>
  </si>
  <si>
    <t>-   składki ubezpieczenia społecznego</t>
  </si>
  <si>
    <r>
      <t xml:space="preserve">-   </t>
    </r>
    <r>
      <rPr>
        <sz val="12"/>
        <rFont val="Times New Roman"/>
        <family val="1"/>
      </rPr>
      <t>koszty obsługi świadczeń rodzinnych i zaliczek alimentacyjnych (wynagrodzenia, szkolenia, opłaty bankowe, artykuły biurowe)</t>
    </r>
  </si>
  <si>
    <r>
      <t>-</t>
    </r>
    <r>
      <rPr>
        <sz val="7"/>
        <rFont val="Times New Roman"/>
        <family val="1"/>
      </rPr>
      <t>    </t>
    </r>
    <r>
      <rPr>
        <sz val="12"/>
        <rFont val="Times New Roman"/>
        <family val="1"/>
      </rPr>
      <t xml:space="preserve">składki na ubezpieczenie zdrowotne </t>
    </r>
  </si>
  <si>
    <r>
      <t>Zadania zlecone</t>
    </r>
    <r>
      <rPr>
        <sz val="12"/>
        <rFont val="Times New Roman"/>
        <family val="1"/>
      </rPr>
      <t xml:space="preserve">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</si>
  <si>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zasiłki okresowe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</si>
  <si>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zasiłki specjalne celowe</t>
    </r>
  </si>
  <si>
    <t>-      zasiłki na opał</t>
  </si>
  <si>
    <t>-      zasiłki na żywność</t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</si>
  <si>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leki, leczenie</t>
    </r>
  </si>
  <si>
    <t>z tytułu rozrachunków z odbiorcami i dostawcami</t>
  </si>
  <si>
    <t>z tytułu podatku Vat</t>
  </si>
  <si>
    <t>rozrachunki z tytułu podatku dochodowego od osób fizycznych</t>
  </si>
  <si>
    <t>rozrachunki publicznoprawne z tytułu składek ZUS</t>
  </si>
  <si>
    <t>Pomoc społeczna</t>
  </si>
  <si>
    <t>Świadczenia rodzinne, zaliczka alimentacyjna oraz składki na ubezpieczenia emerytalne i rentowe z ubezpieczenia społecznego</t>
  </si>
  <si>
    <t>Dochody jednostek samorządu terytorialnego związane z realizacją zadań z zakresu administracji rządowej oraz innych zadań zleconych ustawami</t>
  </si>
  <si>
    <t>Urzędy gmin</t>
  </si>
  <si>
    <t>0690</t>
  </si>
  <si>
    <t>Wpływy z różnych opłat</t>
  </si>
  <si>
    <t>Urzędy naczelnych organów władzy państwowej, kontroli i ochrony prawa i sądownictwa</t>
  </si>
  <si>
    <t>Urzędy naczelnych organów władzy państwowej, kontroli i ochrony prawa</t>
  </si>
  <si>
    <t>Wybory Prezydenta RP</t>
  </si>
  <si>
    <t>Wybory do Sejmu i Senatu</t>
  </si>
  <si>
    <t>Bezpieczeństwo publiczne i ochrona przeciwpożarowa</t>
  </si>
  <si>
    <t>Obrona cywilna</t>
  </si>
  <si>
    <t>Zał.nr 6</t>
  </si>
  <si>
    <t>DOCHODY I WYDATKI  DOCHODÓW WŁASNYCH JEDNOSTEK BUDŻETOWYCH</t>
  </si>
  <si>
    <t>ZBIORÓWKA</t>
  </si>
  <si>
    <t>DOCHODY</t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</si>
  <si>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odpis na Zakładowy Fundusz Świadczeń Socjalnych</t>
    </r>
  </si>
  <si>
    <t xml:space="preserve">Usuwanie skutków klęsk żywiołowych </t>
  </si>
  <si>
    <t>Wypłacono 92 świadczenia dla 92 rodzin</t>
  </si>
  <si>
    <t>-     ze środków własnych gminy</t>
  </si>
  <si>
    <t>-     ze środków rezerwy celowej z budżetu państwa</t>
  </si>
  <si>
    <t>854  EDUKACYJNA OPIEKA WYCHOWAWCZA</t>
  </si>
  <si>
    <r>
      <t>900</t>
    </r>
    <r>
      <rPr>
        <b/>
        <u val="single"/>
        <sz val="12"/>
        <rFont val="Times New Roman"/>
        <family val="1"/>
      </rPr>
      <t xml:space="preserve">  GOSPODARKA MIESZKANIOWA ORAZ NIEMATERIALNE USŁUGI KOMUNALNE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</si>
  <si>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utrzymanie oświetlenia ulicznego (energia, konserwacja, materiały)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</si>
  <si>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utrzymanie bezpańskich psów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</si>
  <si>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bieżące utrzymanie toalet publicznych (energia, woda,gaz, obsługa)</t>
    </r>
  </si>
  <si>
    <t>921  KULTURA I OCHRONA DZIEDZICTWA NARODOWEGO</t>
  </si>
  <si>
    <t>Środki przekazano w formie dotacji dla:</t>
  </si>
  <si>
    <r>
      <t>-</t>
    </r>
    <r>
      <rPr>
        <sz val="7"/>
        <rFont val="Times New Roman"/>
        <family val="1"/>
      </rPr>
      <t>        </t>
    </r>
    <r>
      <rPr>
        <sz val="12"/>
        <rFont val="Times New Roman"/>
        <family val="1"/>
      </rPr>
      <t>Gminnego Ośrodka Kultury w Kaźmierzu</t>
    </r>
  </si>
  <si>
    <t>Gimnazjum w Kaźmierzu</t>
  </si>
  <si>
    <t>Wpływy z kapitalizacji odsetek bankowych, dobrowolne wpłaty.</t>
  </si>
  <si>
    <t>Zakup materiałów i wyposażenia, pomocy dydaktycznych, prowizje bankowe</t>
  </si>
  <si>
    <t>Usługi bankowe</t>
  </si>
  <si>
    <t>Inne usługi</t>
  </si>
  <si>
    <t>Wynagrodzenia:</t>
  </si>
  <si>
    <t>Odpis na ZFŚS</t>
  </si>
  <si>
    <t>delegacje pracowników</t>
  </si>
  <si>
    <t>ryczałty samochodowe</t>
  </si>
  <si>
    <t>Ubezpieczenie budynku i wyposażenia</t>
  </si>
  <si>
    <t xml:space="preserve">Razem </t>
  </si>
  <si>
    <t>z działalności kulturalnej</t>
  </si>
  <si>
    <t>z wynajmu sali</t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</si>
  <si>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wykonanie ogrodzenia na obiekcie sportowym w Kaźmierzu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</si>
  <si>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wykonanie remontu pokrycia dachowego na obiekcie sportowym w Bytyniu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</si>
  <si>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zakup artykułów i strojów  sportowych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</si>
  <si>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dotacja dla organizacj pozarządowej KKS Czarni Kaźmierz                                   (Umowa Nr 2 /2008. z dnia 14.03.2008 r.)</t>
    </r>
  </si>
  <si>
    <t>ZESTAWIENIE NALEŻNOŚCI  I  ZOBOWIĄZAŃ NA 30.06.2008 r.</t>
  </si>
  <si>
    <t>czynsz dzierżawny faktura nr NI/LU/11/08 z dnia 02.04.2008</t>
  </si>
  <si>
    <t>czynsz dzierżawny faktura nr 19/KS/08 z dnia 21.06.2008</t>
  </si>
  <si>
    <t>należności z tytułu podatku od spadków i darowizn</t>
  </si>
  <si>
    <t>należności z tytułu udziału w podatku od osów prawnych</t>
  </si>
  <si>
    <t xml:space="preserve">zobowiązania z tytułu pochodnych od wynagrodzeń </t>
  </si>
  <si>
    <t>rozrachunki z budżetami z tytułu opłaty za korzystanie ze środowiska za I półrocze 2008 roku</t>
  </si>
  <si>
    <t>rozrachunki z budżetami z tytułu podatków lokalnych</t>
  </si>
  <si>
    <t>rozrachunki z tytułu wynagrodzeń</t>
  </si>
  <si>
    <t>rozrachunki z pracownikami</t>
  </si>
  <si>
    <t>rozrachunki z tytułu  odpisu na ZFŚS</t>
  </si>
  <si>
    <t>zobowiązania z tytułu podatku dochodowego od osób fizycznych z tytułu wynagrodzeń</t>
  </si>
  <si>
    <t>zobowiązania wobec ZUS z tytułu wynagrodzeń</t>
  </si>
  <si>
    <t>zobowiązania z tytułu podatku dochodowego</t>
  </si>
  <si>
    <t>Zał.nr 7</t>
  </si>
  <si>
    <t>Załącznik Nr 1 do zał.nr 7</t>
  </si>
  <si>
    <t>Załącznik Nr 2 do zał.nr 7</t>
  </si>
  <si>
    <t>Zał.nr 9</t>
  </si>
  <si>
    <t>Zał.nr 10</t>
  </si>
  <si>
    <r>
      <t>·</t>
    </r>
    <r>
      <rPr>
        <sz val="7"/>
        <rFont val="Times New Roman"/>
        <family val="1"/>
      </rPr>
      <t>       </t>
    </r>
    <r>
      <rPr>
        <sz val="12"/>
        <rFont val="Times New Roman"/>
        <family val="1"/>
      </rPr>
      <t>paliwo dla policji na doprowadzenie i konwojowanie osób zatrzymanych do izby wytrzeźwień oraz sądów, prokuratur i punktu kosultacyjnego GKRPA ( Umowa darowizny z dnia 05.04.2007 roku)</t>
    </r>
  </si>
  <si>
    <r>
      <t>·</t>
    </r>
    <r>
      <rPr>
        <sz val="7"/>
        <rFont val="Times New Roman"/>
        <family val="1"/>
      </rPr>
      <t>       </t>
    </r>
    <r>
      <rPr>
        <sz val="12"/>
        <rFont val="Times New Roman"/>
        <family val="1"/>
      </rPr>
      <t>pozostałe (szkolenia, wydawnictwa fachowe, delegacje, wydatki na bieżącą działalność świetlic i punktów profilaktycznych)</t>
    </r>
  </si>
  <si>
    <t>- wymiana stolarki okiennej</t>
  </si>
  <si>
    <t>1. Działalność Gminnej Komisji Rozwiązywania Problemów Alkoholowych</t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</si>
  <si>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samotnego wychowywania dziecka w kwocie zwiększonej na podst.art.11a ust.3 i 4 ustawy (485 świadczeń)</t>
    </r>
  </si>
  <si>
    <t>1. Pomoc materialna o charakterze socjalnym:</t>
  </si>
  <si>
    <t>2. Pomoc materialna o charakterze edukacyjnym w ramach programu "Wyrównywanie szans"</t>
  </si>
  <si>
    <t>3. Zakup jednolitego stroju dla uczniów szkół podstawowych i gimnazjalnych</t>
  </si>
  <si>
    <t>-      uzupełnienie opraw oświetleniowych na terenie gminy</t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</si>
  <si>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zakup foteli na boisko sportowe w Kaźmierzu</t>
    </r>
  </si>
  <si>
    <t>Odpisy na Zakładowy Fundusz Świadczeń Socjalnych</t>
  </si>
  <si>
    <t>-  odpis na ZFŚS,</t>
  </si>
  <si>
    <t>Podatek od towarów i usług</t>
  </si>
  <si>
    <t>- podatek od towarów i usług - kosztowy</t>
  </si>
  <si>
    <t>Wydatki na zakupy inwestycyjne zakładów budżetowych</t>
  </si>
  <si>
    <t>- wynagrodzenia wraz z pochodnymi od wynagrodzeń i inne świadczenia na rzecz pracowników objęte przepisami BHP,</t>
  </si>
  <si>
    <t>x</t>
  </si>
  <si>
    <t>- podróże służbowe,</t>
  </si>
  <si>
    <t>- opłaty za korzystanie ze środowiska przekazywane do Urzędu Marszałkowskiego w Poznaniu, ubezpieczenie budynków, trwały zarząd,</t>
  </si>
  <si>
    <t>- podatek od nieruchomości - budynków komunalnych,</t>
  </si>
  <si>
    <t>- podatek od towarów i usług - kosztowy,</t>
  </si>
  <si>
    <t>Składki na ubezpieczenia społeczne</t>
  </si>
  <si>
    <t>- opłaty na rzecz Urzędu Marszałkowskiego za składowanie odpadów na wysypisku w Rumianku, ubezpieczenie pojazdów, podatek od środków transportu,</t>
  </si>
  <si>
    <t>Utrzymanie zieleni w miastach i gminach</t>
  </si>
  <si>
    <t>- wynagrodzenia wraz z pochodnymi od wynagrodzeń i inne świadczenia na rzecz pracownika objęte przepisami BHP,</t>
  </si>
  <si>
    <t>Dochody od osób prawnych, od osób fizycznych i od innych jednostek nieposiadających osobowości prawnej oraz wydatki związane z ich poborem</t>
  </si>
  <si>
    <t>Wpływy z podatku dochodowego od osób fizycznych</t>
  </si>
  <si>
    <t>0350</t>
  </si>
  <si>
    <t>Podatek od działalności gospodarczej osób fizycznych, opłacany w formie karty podatkowej</t>
  </si>
  <si>
    <t>Wpływy z podatku opłacanego w formie karty podatkowej. Wykonanie zgodne ze sprawozdaniem Urzędu Skarbowego.</t>
  </si>
  <si>
    <t>Odsetki od nieterminowych wpłat  podatku opłacanego w formie karty podatkowej. Wykonanie zgodne ze sprawozdaniem Urzędu Skarbowego.</t>
  </si>
  <si>
    <t>Wpływ z podatku rolnego, podatku leśnego, podatku od czynności cywilnoprawnych, podatków i opłat lokalnych od osób prawnych i innych jednostek organizacyjnych</t>
  </si>
  <si>
    <t>0310</t>
  </si>
  <si>
    <t xml:space="preserve">         Podstawą gospodarki finansowej Zakładu Usług Komunalnych jest roczny plan finansowy, obejmujący przychody i wydatki stanowiące koszty działalności oraz stan środków obrotowych i rozliczenia z budżetem.</t>
  </si>
  <si>
    <t xml:space="preserve"> Zakład Usług Komunalnych wykonuje usługi w zakresie:</t>
  </si>
  <si>
    <t>w tym:</t>
  </si>
  <si>
    <t>- dochody bieżące</t>
  </si>
  <si>
    <t>- dochody majątkowe</t>
  </si>
  <si>
    <t>- koszty abonentów i rozmów telefonicznych Biblioteki Publicznej w Kaźmierzu i filii bibliotecznmej w Gaju Wielkim, koszty połączeń internetowych</t>
  </si>
  <si>
    <t>- usługi pocztowe</t>
  </si>
  <si>
    <t>- opłaty za skrzynkę pocztową, abonament RTV, wysyłkę książek - wypożyczenia międzybiblioteczne</t>
  </si>
  <si>
    <t>- najem lokalu</t>
  </si>
  <si>
    <t>- koszty najmu pomieszczeń filii biblitecznych w Bytyniu i Gaju Wielkim</t>
  </si>
  <si>
    <t>- ochrona obiektu</t>
  </si>
  <si>
    <t>- koszty ochrony obiektu Biblioteki</t>
  </si>
  <si>
    <t>- naprawa sprzętu</t>
  </si>
  <si>
    <t>- pozostłe usługi</t>
  </si>
  <si>
    <t>Wynagrodzenia</t>
  </si>
  <si>
    <t>- osobowe</t>
  </si>
  <si>
    <t>- zlecenia</t>
  </si>
  <si>
    <t>- koszty wynagrodzenia z tytułu umów zlecenia, umów o dzieło  (prowadzenie księgowości, spotkania autorskie,</t>
  </si>
  <si>
    <t>Ubezpieczenia społeczne</t>
  </si>
  <si>
    <t xml:space="preserve">- koszty ubezpieczeń społecznych: emetalne, rentowe, wypadkowe oraz Fundusz Pracy </t>
  </si>
  <si>
    <t>Odpisy na ZFŚS</t>
  </si>
  <si>
    <t>- koszty odpisu na Zakładowy Fundusz Świadczeń Socjalnych</t>
  </si>
  <si>
    <t>Pozostałe świadczenia na rzecz pracowników</t>
  </si>
  <si>
    <t>- koszty świadczeń bhp (mydło, berbata, ręczniki), koszty zakupu wody Dar Natury</t>
  </si>
  <si>
    <t>Usługi bankowe i inne opłaty</t>
  </si>
  <si>
    <t>- koszty bankowej obsługi rachunku bankowego Biblioteki, prowizje od przelewów</t>
  </si>
  <si>
    <t>Podróże służbowe</t>
  </si>
  <si>
    <t>- koszty używania prywatnych samochowów do celów służbowych -  koszty delegacji,</t>
  </si>
  <si>
    <t>Pozostałe koszty</t>
  </si>
  <si>
    <t>Amortyzacja środków trwałych</t>
  </si>
  <si>
    <t>- koszty amortyzacji środków trwałych</t>
  </si>
  <si>
    <t>Razem</t>
  </si>
  <si>
    <t>Przychody</t>
  </si>
  <si>
    <t>Dotacja Urzędu Gminy w Kaźmierzu</t>
  </si>
  <si>
    <t>Przychody własne</t>
  </si>
  <si>
    <t>- z usług ksero</t>
  </si>
  <si>
    <t>-przychody z usług ksero</t>
  </si>
  <si>
    <t>- za internet</t>
  </si>
  <si>
    <t>- przychody za korzystanie z intenetu</t>
  </si>
  <si>
    <t>- za upomnienia</t>
  </si>
  <si>
    <t>-przychód za upomnienia</t>
  </si>
  <si>
    <t>- za kasety</t>
  </si>
  <si>
    <t>-odsetki od środków na rachunku bankowym</t>
  </si>
  <si>
    <t>- przychody finansowe z kapitalizacji odsetek od środków na rachunku bieżącym</t>
  </si>
  <si>
    <t xml:space="preserve">Plan                                </t>
  </si>
  <si>
    <t xml:space="preserve">WYKONANIE PLANU  </t>
  </si>
  <si>
    <t xml:space="preserve">% 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</si>
  <si>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</si>
  <si>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</si>
  <si>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</si>
  <si>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</si>
  <si>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</si>
  <si>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</si>
  <si>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</si>
  <si>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</si>
  <si>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</si>
  <si>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Wykonanie zgodne z sprawozdaniem Urzędu Skarbowego. Dochody trudne do oszacowania</t>
  </si>
  <si>
    <t>Wpływ z podatku rolnego, podatku leśnego, podatku od czynności cywilnoprawnych, podatku od spadków i darowizn, podatku od czynności cywilnoprawnych oraz podatków i opłat lokalnych od osób fizycznych</t>
  </si>
  <si>
    <t xml:space="preserve">Wykonanie zgodne z sprawozdaniem Urzędu Skarbowego. </t>
  </si>
  <si>
    <t>Wpływy z innych opłat stanowiących dochody jednostek samorządu terytorialnego na podstawie ustaw</t>
  </si>
  <si>
    <t>0410</t>
  </si>
  <si>
    <t>Wpływy z opłaty skarbowej</t>
  </si>
  <si>
    <t xml:space="preserve">Dochody z opłaty skarbowej </t>
  </si>
  <si>
    <t>0460</t>
  </si>
  <si>
    <t>Wpływy z opłaty eksploatacyjnej</t>
  </si>
  <si>
    <t>0480</t>
  </si>
  <si>
    <t>Wpływy z opłat za zezwolenie na sprzedaż alkoholu</t>
  </si>
  <si>
    <t>0490</t>
  </si>
  <si>
    <t>Wpływy z innych lokalnych opłat pobieranych przez jednostki samorządu terytorialnego na podstawie odrębnych ustaw</t>
  </si>
  <si>
    <t>Udziały gmin w podatkach stanowiących dochód budżetu państwa</t>
  </si>
  <si>
    <t>0010</t>
  </si>
  <si>
    <t>Podatek dochodowy od osób fizycznych</t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</si>
  <si>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różne opłaty i składki - ubezpieczenie sprzętu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</si>
  <si>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zakup materiałów papierniczych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</si>
  <si>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zakupy inwestycyjne</t>
    </r>
  </si>
  <si>
    <t>- przeprowadzenie wyborów do Sejmu RP i Senatu RP zarządzonych na dzień 21 października 2007 r.</t>
  </si>
  <si>
    <r>
      <t>·</t>
    </r>
    <r>
      <rPr>
        <sz val="7"/>
        <rFont val="Times New Roman"/>
        <family val="1"/>
      </rPr>
      <t>       </t>
    </r>
    <r>
      <rPr>
        <sz val="12"/>
        <rFont val="Times New Roman"/>
        <family val="1"/>
      </rPr>
      <t>programy profilaktyczne:"Zachowaj Trzeźwy Umysł", "Życie bez nałogów"</t>
    </r>
  </si>
  <si>
    <t>Zmiana nr 1</t>
  </si>
  <si>
    <t>Materiały:</t>
  </si>
  <si>
    <t>środki czystości</t>
  </si>
  <si>
    <t>materiały gospodarcze, remontowe</t>
  </si>
  <si>
    <t>materiały biurowe</t>
  </si>
  <si>
    <t>inne materiały</t>
  </si>
  <si>
    <t>Energia</t>
  </si>
  <si>
    <t>Woda</t>
  </si>
  <si>
    <t>Usługi transportowe</t>
  </si>
  <si>
    <t>0020</t>
  </si>
  <si>
    <t>Podatek dochodowy od osób prawnych</t>
  </si>
  <si>
    <t xml:space="preserve">Udział Gminy w podatku dochodowym od osób prawnych. Wykonanie zgodne z sprawozdaniem Urzędu Skarbowego. </t>
  </si>
  <si>
    <t>Różne rozliczenia</t>
  </si>
  <si>
    <t>Część oświatowa subwencji ogólnej dla samorządu terytorialnego</t>
  </si>
  <si>
    <t>Subwencje ogólne z budżetu państwa</t>
  </si>
  <si>
    <t>Część wyrównawcza subwencji ogólnej dla gmin</t>
  </si>
  <si>
    <t>Różne rozliczenia finansowe</t>
  </si>
  <si>
    <t>Część równoważąca subwencji ogólnej dla gmin</t>
  </si>
  <si>
    <t>Oświata i wychowanie</t>
  </si>
  <si>
    <t>Szkoły podstawowe</t>
  </si>
  <si>
    <t>Dotacje celowe przekazane z budżetu państwa na realizację własnych zadań bieżących gmin</t>
  </si>
  <si>
    <t xml:space="preserve">Przedszkola </t>
  </si>
  <si>
    <t>0830</t>
  </si>
  <si>
    <t>Wpływy z usług</t>
  </si>
  <si>
    <t>Gimnazja</t>
  </si>
  <si>
    <t>Środki na dofinasowanie własnych inwestycji gmin pozyskane z innych źródeł</t>
  </si>
  <si>
    <t>Dotacje celowe otrzymane z budżetu państwa na realizację inwestycji i zakupów inwestycyjnych własnych gmin</t>
  </si>
  <si>
    <t>Dowożenie uczniów</t>
  </si>
  <si>
    <t>Zespoły obsługi ekonomiczno-administracyjnej szkół</t>
  </si>
  <si>
    <t>Wywóz nieczystości</t>
  </si>
  <si>
    <t>Wynajem lokalu</t>
  </si>
  <si>
    <t>Abonament i rozmowy telefoniczne</t>
  </si>
  <si>
    <t>Usługi pocztowe</t>
  </si>
  <si>
    <t>Usługi drukarskie</t>
  </si>
  <si>
    <t>Składki na ubezpieczenie zdrowotne opłacane za osoby pobierające niektóre świadczenia z pomocy społecznej oraz niektóre świadczenia rodzinne</t>
  </si>
  <si>
    <t>Zasiłki i pomoc w naturze oraz składki na ubezpieczenia emerytalne i rentowe</t>
  </si>
  <si>
    <t>Ośrodki pomocy społecznej</t>
  </si>
  <si>
    <t>Kapitalizacja odsetek na koncie bankowym GOPS</t>
  </si>
  <si>
    <t>Edukacyjna opieka wychowawcza</t>
  </si>
  <si>
    <t>Wykonanie dochodów/wydatków w 2007 roku.</t>
  </si>
  <si>
    <t>Plan dochodów/wydatków w 2007 roku.</t>
  </si>
  <si>
    <t>Wydatki na pomoc finansową  udzielaną między jednistkami samorządu terytorialnego na dofinansowanie własnych zadań inwestycyjnych i zakupów inwestycyjnych.</t>
  </si>
  <si>
    <t xml:space="preserve">Różne jednostki obsługi gospodarki mieszkaniowej </t>
  </si>
  <si>
    <t xml:space="preserve">Dotacja przedmiotowa z budżetu dla zakładu budżetowego </t>
  </si>
  <si>
    <t>Dotacje celowe otrzymane z budżetu na finansowanie lub dofinansowanie kosztów realizacji inwestycji i zakupów inwestycyjnych zakładów budżetowych</t>
  </si>
  <si>
    <t>Wydatki na zakupy inwestycyjne jednostek budżetowych</t>
  </si>
  <si>
    <t>Działalność usługowa</t>
  </si>
  <si>
    <r>
      <t>-</t>
    </r>
    <r>
      <rPr>
        <sz val="7"/>
        <rFont val="Times New Roman"/>
        <family val="1"/>
      </rPr>
      <t>        </t>
    </r>
    <r>
      <rPr>
        <sz val="12"/>
        <rFont val="Times New Roman"/>
        <family val="1"/>
      </rPr>
      <t>budowę sieci wodociągowej  w Kaźmierzu ul.Jabłoniowa</t>
    </r>
  </si>
  <si>
    <r>
      <t>-</t>
    </r>
    <r>
      <rPr>
        <sz val="7"/>
        <rFont val="Times New Roman"/>
        <family val="1"/>
      </rPr>
      <t>        </t>
    </r>
    <r>
      <rPr>
        <sz val="12"/>
        <rFont val="Times New Roman"/>
        <family val="1"/>
      </rPr>
      <t>budowę sieci wodociągowej  w Kaźmierzu ul.Poznańska</t>
    </r>
  </si>
  <si>
    <r>
      <t>-</t>
    </r>
    <r>
      <rPr>
        <sz val="7"/>
        <rFont val="Times New Roman"/>
        <family val="1"/>
      </rPr>
      <t>        </t>
    </r>
    <r>
      <rPr>
        <sz val="12"/>
        <rFont val="Times New Roman"/>
        <family val="1"/>
      </rPr>
      <t>budowę sieci wodociągowej w m.Komorowo</t>
    </r>
  </si>
  <si>
    <r>
      <t>-</t>
    </r>
    <r>
      <rPr>
        <sz val="7"/>
        <rFont val="Times New Roman"/>
        <family val="1"/>
      </rPr>
      <t>        </t>
    </r>
    <r>
      <rPr>
        <sz val="12"/>
        <rFont val="Times New Roman"/>
        <family val="1"/>
      </rPr>
      <t>wykonanie ewidencji dróg</t>
    </r>
  </si>
  <si>
    <t>- aktualizacja studium zagospodarowania przestrzennego</t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</si>
  <si>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współpraca z gminą litewską Ejszyszki, gminą Bystrzyca Kłodzka i Ujście</t>
    </r>
  </si>
  <si>
    <t>Szczegółowe dane przedstawiają załączniki nr 1 i 2.</t>
  </si>
  <si>
    <t>Plan po zmianach</t>
  </si>
  <si>
    <t>Wytwarzanie i zaopatrywanie w energię elektryczną, gaz i wodę</t>
  </si>
  <si>
    <t>Wpływy z opłat za żywienie, kapitalizacja odsetek bankowych, dobrowolne wpłaty.</t>
  </si>
  <si>
    <t>0960</t>
  </si>
  <si>
    <t>Otrzymane spadki, zapisy i darowizny w postaci pieniężnej</t>
  </si>
  <si>
    <t>Zakup artykułów spożywczych, wyposażenia kuchni, pomocy dydaktycznych,</t>
  </si>
  <si>
    <t>Zakup środków żywności</t>
  </si>
  <si>
    <t>DOCHODY OGÓŁEM</t>
  </si>
  <si>
    <t>Zał.do zał.nr 6</t>
  </si>
  <si>
    <t>Przedszkole w Kaźmierzu</t>
  </si>
  <si>
    <t>Szkoła Podstawowa Bytyń</t>
  </si>
  <si>
    <t>Szkoła Podstawowa Gaj Wielki</t>
  </si>
  <si>
    <t>Szkoła Podstawowa Kaźmierz</t>
  </si>
  <si>
    <t>Zakup artykułów spożywczych, prowizje bankowe.</t>
  </si>
  <si>
    <t>SPRAWOZDANIE Z DZIAŁALNOŚCI</t>
  </si>
  <si>
    <t>ZAKŁADU USŁUG KOMUNALNYCH</t>
  </si>
  <si>
    <t>W KAŹMIERZU</t>
  </si>
  <si>
    <t>- odsetki kredytowe Umowa Nr 05/1117 o kredyt ze środków Europejskiego Banku Inwestycyjnego na inwestycję pn."Budowa gimnazjum wraz z salą gimnastyczną w Kaźmierzu".</t>
  </si>
  <si>
    <t>W I półroczu 2008 roku spłaty rat kapitałowych odbywały się zgodnie z harmonogramem określonym w umowach kredytowych i pożyczkowych.</t>
  </si>
  <si>
    <t>Struktura wydatków za okres  od 01.01.2008 r. – 30.06.2008 r.</t>
  </si>
  <si>
    <t>-     budowa sieci kanalizacji sanitarnej - układ Kaźmierz - Kiączyn</t>
  </si>
  <si>
    <t>-     budowa sieci kanalizacji sanitarnej w m.Kaźmierz rej.ul.Dolnej i Konopnickiej</t>
  </si>
  <si>
    <t>-     budowa sieci kanalizacji sanitarnej w m.Kaźmierz rej.ul.Poznańskiej i Dolnej</t>
  </si>
  <si>
    <t>-      koszty organizacj Dożynek Powiatowych 2007</t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</si>
  <si>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pomoc finansową dla Powiatu Szamotulskiego na remont drogi powiatowej nr 1868P Otorowo-Bytyń na odcinku Pólko-Piersko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</si>
  <si>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budowę chodnika w Kaźmierzu w rej.ul.Dworcowej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</si>
  <si>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budowę chodnika w Kaźmierzu w rej.ul.Reja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</si>
  <si>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ścinka poboczy na drogach leżących na terenie gminy Kaźmierz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</si>
  <si>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dotacje przedmiotową dla Zakładu Usług Komunalnych w Kaźmierzu (zgodnie z Uchwałą nr III/19/06 Rady Gminy Kaźmierz z dn. 22.12.2006, zmienionej Uchwała Nr V/26/07 Rady Gminy Kaźmierz z dn.02.03.2007 r.)</t>
    </r>
  </si>
  <si>
    <t>0870</t>
  </si>
  <si>
    <t>Wpływy ze sprzedaży składników majątkowych</t>
  </si>
  <si>
    <t>Wpływy do budżetu nadwyżki środków obrotowych zakładu budżetowego</t>
  </si>
  <si>
    <t>- ryczałty samochodowe i koszty podróży służbowych,</t>
  </si>
  <si>
    <t>Podróże służbowe zagraniczne</t>
  </si>
  <si>
    <t>Zakup materiałów papierniczych do sprzętu drukarskiego i urządzeń kserograficznych</t>
  </si>
  <si>
    <t>Zakup akcesoriów komputerowych, w tym programów i licencji</t>
  </si>
  <si>
    <t xml:space="preserve">Zakup usług remontowych </t>
  </si>
  <si>
    <t>Urzędy naczelnych organów władzy państwowej, kontroli i ochrony prawa oraz sądownictwa</t>
  </si>
  <si>
    <t xml:space="preserve">Urzędy naczelnych organów władzy państwowej, kontroli i ochrony prawa </t>
  </si>
  <si>
    <t>Jednostki terenowe Policji</t>
  </si>
  <si>
    <t>Ochotnicze straże pożarne</t>
  </si>
  <si>
    <t>Dotacja celowa z budżetu na finansowanie lub dofinansowanie kosztów realizacji inwestycji i zakupów inwestycyjnych jednostek niezaliczanych do sektora finansów publicznych</t>
  </si>
  <si>
    <t>Dochody od osób prawnych, od osób fizycznych i od innych jednostek nie posiadających osobowości prawnej</t>
  </si>
  <si>
    <t>Pobór podatków, opłat i niepodatkowych należności budżetowych</t>
  </si>
  <si>
    <t>Wynagrodzenia agencyjno-prowizyjne</t>
  </si>
  <si>
    <t>Koszty postępowania sądowego i prokuratorskiego</t>
  </si>
  <si>
    <t>Obsługa długu publicznego</t>
  </si>
  <si>
    <t>Obsługa papierów wartościowych, kredytów i pożyczek jednostek samorządu terytorialnego</t>
  </si>
  <si>
    <t>Opracowania geodezyjne i kartograficzne</t>
  </si>
  <si>
    <t>Wynagrodzenia osobowe pracowników</t>
  </si>
  <si>
    <t>Składki na ubezpieczenie społeczne</t>
  </si>
  <si>
    <t>Rady gmin</t>
  </si>
  <si>
    <t>Zakup energii</t>
  </si>
  <si>
    <t>Podróże służbowe krajowe</t>
  </si>
  <si>
    <t>Podróże służbowe zagraniczna</t>
  </si>
  <si>
    <t>Nagrody i wydatki osobowe nie zaliczone do wynagrodzeń</t>
  </si>
  <si>
    <t>Dodatkowe wynagrodzenia roczne</t>
  </si>
  <si>
    <t>Składki na Fundusz Pracy</t>
  </si>
  <si>
    <t>Wynagrodzenia bezosobowe</t>
  </si>
  <si>
    <t>Zakup usług zdrowotnych</t>
  </si>
  <si>
    <t>Zakup usług dostępu do sieci Internet</t>
  </si>
  <si>
    <t>Opłaty z tytułu zakupu usług telekomunikacyjnych telefonii komórkowej</t>
  </si>
  <si>
    <t>Opłaty z tytułu zakupu usług telekomunikacyjnych telefoni stacjonarnej</t>
  </si>
  <si>
    <t>Odpisy na zakładowy fundusz świadczeń socjalnych</t>
  </si>
  <si>
    <t>Wykonanie  na 31.12.2007</t>
  </si>
  <si>
    <t xml:space="preserve">Szkoła Podstawowa w Gaju Wielkim </t>
  </si>
  <si>
    <t xml:space="preserve">Szkoła Podstawowa w Sokolnikach Wielkich  </t>
  </si>
  <si>
    <t xml:space="preserve">Rozdział 80103 Oddziały przedszkolne </t>
  </si>
  <si>
    <t xml:space="preserve">Rozdział 80104 Przedszkola </t>
  </si>
  <si>
    <t xml:space="preserve">Rozdział 80110 Gimnazjum </t>
  </si>
  <si>
    <t xml:space="preserve">Rozdział 80113 Dowożenie uczniów </t>
  </si>
  <si>
    <t xml:space="preserve">Rozdział 80114 Zespoły ekonomiczno-administracyjne szkół  </t>
  </si>
  <si>
    <t xml:space="preserve">Rozdział 80146 Placówki dokształcania i doskonalenia nauczycieli </t>
  </si>
  <si>
    <t xml:space="preserve">Rozdział 80195 Pozostała działalność </t>
  </si>
  <si>
    <t xml:space="preserve">Utrzymanie Ośrodka Pomocy Społecznej </t>
  </si>
  <si>
    <t xml:space="preserve">Pozostała działalność </t>
  </si>
  <si>
    <t xml:space="preserve">Dodatki mieszkaniowe </t>
  </si>
  <si>
    <t xml:space="preserve">Zadania własne </t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</si>
  <si>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 xml:space="preserve">samotnego wychowywania dziecka w wys.określonej w art.11a ust.5 ustawy </t>
    </r>
  </si>
  <si>
    <t>Wpływy z opłaty targowej.</t>
  </si>
  <si>
    <t>należność z tytułu odsetek od nieterminowych wpłat za wieczyste użytkowanie</t>
  </si>
  <si>
    <t>należność z tytułu odsetek należnych za sprzedaż ratalną nieruchomości wg umów</t>
  </si>
  <si>
    <t>należności z tytułu podatku od działalności gospodarczej osób fizycznych, opłacanego w formie karty podatkowej</t>
  </si>
  <si>
    <t>należności z tytułu podatku od nieruchomości</t>
  </si>
  <si>
    <t>należności z tytułu podatku rolnego</t>
  </si>
  <si>
    <t>należności z tytułu podatku leśnego</t>
  </si>
  <si>
    <t>Dokształcanie i doskonalenie nauczycieli</t>
  </si>
  <si>
    <t>Ochrona zdrowia</t>
  </si>
  <si>
    <t>Przeciwdziałanie alkoholizmowi</t>
  </si>
  <si>
    <t>Dotacja celowa z budżetu na finansowanie lub dofinansowanie zadań zleconych do realizacji stowarzyszeniom</t>
  </si>
  <si>
    <t>Świadczenia społeczne</t>
  </si>
  <si>
    <t>Składka na ubezpieczenie zdrowotne</t>
  </si>
  <si>
    <t>Odsetki i dyskonto od krajowych skarbowych papierów wartościowych oraz pożyczek i kredytów</t>
  </si>
  <si>
    <t>Rezerwy ogólne i celowe</t>
  </si>
  <si>
    <t>Rezerwy</t>
  </si>
  <si>
    <t>Inne formy pomocy dla uczniów</t>
  </si>
  <si>
    <t>Pomoce naukowe i dydaktyczne, książki</t>
  </si>
  <si>
    <t>Rózne opłaty i składki</t>
  </si>
  <si>
    <t>Oddziały przedszkolne w szkołach podstawowych</t>
  </si>
  <si>
    <t>Dotacja dla placówki niepublicznej</t>
  </si>
  <si>
    <t>Zespoły ekonomiczno-administracyjne szkół</t>
  </si>
  <si>
    <t xml:space="preserve">- usługi remontowe, naprawcze ( naprawa dachu po wichurze, remont klas- stara szkoła ) </t>
  </si>
  <si>
    <t>- zakup usług zdrowotnych</t>
  </si>
  <si>
    <t>- zakup usług dostepu do sieci Internet</t>
  </si>
  <si>
    <t>- zakup usług telekomunikacyjnych telefonii komórkowej</t>
  </si>
  <si>
    <t>- zakup usług telekomunikacyjnych</t>
  </si>
  <si>
    <t>- zakup art.papierniczych ( papier do kopiarek i drukarek)</t>
  </si>
  <si>
    <t xml:space="preserve">- usługi remontowe, naprawcze ( naprawa dachu po wichurze) </t>
  </si>
  <si>
    <t>- zakup usług pozostałych ( opłaty RTV,dozór techniczny, przeglądy serwisowe )</t>
  </si>
  <si>
    <t>12. Wykonano remont pokrycia dachu oraz ocieplenie i otynkowanie elewacji budynku ABCD przy ul. Szamotulskiej 20 oraz remont budynku B polegający na adaptacji pomieszczeń.</t>
  </si>
  <si>
    <t>Zał.do zał.nr 2</t>
  </si>
  <si>
    <t>należności z tytułu podatku od środków transportowych</t>
  </si>
  <si>
    <t>należności z tytułu podatku od czynności cywilnoprawnych</t>
  </si>
  <si>
    <t>należność z tytułu odsetek od nieterminowych wpłat należności podatkowych</t>
  </si>
  <si>
    <t>należności z tytułu opłaty planistycznej</t>
  </si>
  <si>
    <t>należność z tytułu odsetek od nieterminowych wpłat opłaty planistycznej</t>
  </si>
  <si>
    <t>zobowiązania z tytułu dostaw towarów i usług</t>
  </si>
  <si>
    <t>2.</t>
  </si>
  <si>
    <t>Gminny Zespół Oświatowy</t>
  </si>
  <si>
    <t>3.</t>
  </si>
  <si>
    <t>Gminny Ośrodek Pomocy Społecznej</t>
  </si>
  <si>
    <t>4.</t>
  </si>
  <si>
    <t>Zakład Usług Komunalnych</t>
  </si>
  <si>
    <t>Budowa sieci wodociągowej w m.K-rz ul.Polna-Reja</t>
  </si>
  <si>
    <t>Budowa sieci wodociągowej w m.Bytyń - Tartak</t>
  </si>
  <si>
    <t>- wynagrodzenie wraz z pochodnymi od wynagrodzeń pracownika zatrudnionego na umowę zlecenie do utrzymania zieleni przy siedzibie Zakładu i na Rynku w Kaźmierzu,</t>
  </si>
  <si>
    <t>Zakup usług dostępu do sieci internet</t>
  </si>
  <si>
    <t>Opłaty z tyt. zakupu usł. tel. komórkowej</t>
  </si>
  <si>
    <t>- opłaty abonamentowe i rozmowy telefonii komórkowej,</t>
  </si>
  <si>
    <t>Opłaty z tyt. zakupu usł. tel. stacjonarnej</t>
  </si>
  <si>
    <t>- opłaty abonamentowe i rozmowy telefonii stacjonarnej,</t>
  </si>
  <si>
    <t>- zakup papieru do drukarek i kserokopiarki,</t>
  </si>
  <si>
    <t>Zał.nr 8</t>
  </si>
  <si>
    <t>Lp</t>
  </si>
  <si>
    <t>Należności</t>
  </si>
  <si>
    <t>Zobowiązania</t>
  </si>
  <si>
    <t>Tytuł powstania należności/zobowiązania</t>
  </si>
  <si>
    <t>wymagalne</t>
  </si>
  <si>
    <t>niewymagalne</t>
  </si>
  <si>
    <t>1.</t>
  </si>
  <si>
    <t>Urząd Gminy</t>
  </si>
  <si>
    <t>należności z tytułu wieczystego użytkowania</t>
  </si>
  <si>
    <t xml:space="preserve">należność z tytułu sprzedaży ratalnej </t>
  </si>
  <si>
    <t>należność z tytułu odsetek od nieterminowych wpłat rat za wykup nieruchomości</t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</si>
  <si>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ubezpieczenia budynku sportowego w Kaźmierzu</t>
    </r>
  </si>
  <si>
    <t xml:space="preserve">Zał.nr 3 </t>
  </si>
  <si>
    <t>Wyszczególnienie</t>
  </si>
  <si>
    <t>Plan przychodów</t>
  </si>
  <si>
    <t>Zmiana</t>
  </si>
  <si>
    <t>Plan przychodów po zmianach</t>
  </si>
  <si>
    <t>Plan rozchodów</t>
  </si>
  <si>
    <t>Plan rozchodów po zmianach</t>
  </si>
  <si>
    <t>Przychody z zaciągniętych pożyczek i kredytów na rynku krajowym</t>
  </si>
  <si>
    <t>Spłaty otrzymanych krajowych pożyczek i kredytów</t>
  </si>
  <si>
    <t>Wykup działek</t>
  </si>
  <si>
    <t>Wykup dróg</t>
  </si>
  <si>
    <t>Budowa świetlicy wiejskiej w Kiączynie</t>
  </si>
  <si>
    <t>Dotacja dla jednostek OSP na zakup sprzetu pożarniczego i ratowniczego z dotacjami z MSWiA, ZGł.ZOSP, ZW ZOSP</t>
  </si>
  <si>
    <t>Zakup sprzętu koputerowego</t>
  </si>
  <si>
    <t>Zakup zestawu komputerowego</t>
  </si>
  <si>
    <t xml:space="preserve">Zał.Nr 5 </t>
  </si>
  <si>
    <r>
      <t>-</t>
    </r>
    <r>
      <rPr>
        <sz val="7"/>
        <rFont val="Times New Roman"/>
        <family val="1"/>
      </rPr>
      <t>        </t>
    </r>
    <r>
      <rPr>
        <sz val="12"/>
        <rFont val="Times New Roman"/>
        <family val="1"/>
      </rPr>
      <t>budowę sieci wodociągowej  w Kaźmierzu rej.ul.Konopnickiej i Dolnej</t>
    </r>
  </si>
  <si>
    <r>
      <t>-</t>
    </r>
    <r>
      <rPr>
        <sz val="7"/>
        <rFont val="Times New Roman"/>
        <family val="1"/>
      </rPr>
      <t>        </t>
    </r>
    <r>
      <rPr>
        <sz val="12"/>
        <rFont val="Times New Roman"/>
        <family val="1"/>
      </rPr>
      <t>przebudowa płyty rynku w Kaźmierzu</t>
    </r>
  </si>
  <si>
    <r>
      <t>-</t>
    </r>
    <r>
      <rPr>
        <sz val="7"/>
        <rFont val="Times New Roman"/>
        <family val="1"/>
      </rPr>
      <t>        </t>
    </r>
    <r>
      <rPr>
        <sz val="12"/>
        <rFont val="Times New Roman"/>
        <family val="1"/>
      </rPr>
      <t xml:space="preserve">druk "Obserwatora Kaźmierskiego" </t>
    </r>
  </si>
  <si>
    <t>Składka na ubezpieczenia społeczne</t>
  </si>
  <si>
    <t>Zakup usług przez jednostki samorządu terytorialnego od innych jednostek samorządu terytorialnego</t>
  </si>
  <si>
    <t>Dodatki mieszkaniowe</t>
  </si>
  <si>
    <t>Składka na Fundusz Pracy</t>
  </si>
  <si>
    <t>Usługi opiekuńcze i specjalistyczne usługi opiekuńcze</t>
  </si>
  <si>
    <t>Gospodarka ściekowa i ochrona wód</t>
  </si>
  <si>
    <t>Oświetlenie ulic, placów i dróg</t>
  </si>
  <si>
    <t>Wynagrodzenie bezosobowe</t>
  </si>
  <si>
    <t>Domy i ośrodki kultury, świetlice i kluby</t>
  </si>
  <si>
    <t>Dotacja podmiotowa z budżetu dla samorządowej instytucji kultury</t>
  </si>
  <si>
    <t>Kultura fizyczna i sport</t>
  </si>
  <si>
    <t>Zadania w zakresie kultury fizycznej i sportu</t>
  </si>
  <si>
    <t>WYDATKI OGÓŁEM</t>
  </si>
  <si>
    <t>010  ROLNICTWO I ŁOWIECTWO</t>
  </si>
  <si>
    <t>Środki przeznaczono na:</t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</si>
  <si>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prace melioracyjne na terenie całej gminy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</si>
  <si>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transport urządzeń melioracyjnych</t>
    </r>
  </si>
  <si>
    <t>Przychody z tytułu innych rozliceń krajowych</t>
  </si>
  <si>
    <t>Zał.Nr 6 do Uchwały nr XXVIII/184/04 Rady Gminy Kaźmierz z dn.20.12.2004r.</t>
  </si>
  <si>
    <t>Zał.Nr 6 do Uchwały NrXIX/122/04 Rady Gminy Kaźmierz z dnia 19.03.2004r.</t>
  </si>
  <si>
    <t xml:space="preserve">Zał.nr 4 </t>
  </si>
  <si>
    <t>Struktura przychodów i wydatków</t>
  </si>
  <si>
    <t>Gminnego Funduszu Ochrony Środowiska i Gospodarki Wodnej</t>
  </si>
  <si>
    <t>PRZYCHODY</t>
  </si>
  <si>
    <t>Wpływy na rzecz funduszu pochodzące z opłat za gospodarcze korzystanie ze środowiska przez podmioty gospodarcze z terenu gminy</t>
  </si>
  <si>
    <t>Kapitalizacja odsetek bankowych</t>
  </si>
  <si>
    <t>WYDATKI</t>
  </si>
  <si>
    <t>Wydatki związane z: akcją Sprzątanie Świata, realizacją Gminnego Programu Ochrony Środowiska i Planu Gospodarki Odpadami, ochroną kasztanowców, obchodami Dnia Ziemi, pozostałymi wydatkami związanymi z ochroną środowiska na terenie gminy</t>
  </si>
  <si>
    <t>Informacja o realizacji inwestycji w 2007r.</t>
  </si>
  <si>
    <t>z przyłączami:</t>
  </si>
  <si>
    <t>1.      Zakupiono Serwer HP, system operacyjny Windows Server Standard – 5 stanowisk, stanowisko ATX – 3 szt, monitor LCD Wide– 1 szt, monitor LCD – 3 szt, drukarka HP – 3 szt, pakiet biurowy Office Standard 2007 – 1 szt, Notebook – 1 szt.</t>
  </si>
  <si>
    <t>2.      Wykonano kolejne odcinki sieci wodociągowej:</t>
  </si>
  <si>
    <t>3.      Wykonano dokumentację projektową na budowę sieci wodociągowej</t>
  </si>
  <si>
    <t>a)      w m. Kopanina rej. Przylesie,</t>
  </si>
  <si>
    <t xml:space="preserve">            702.421,28 zł</t>
  </si>
  <si>
    <t>WYDATKI MAJĄTKOWE GMINY KAŹMIERZ W 2008 r.</t>
  </si>
  <si>
    <t>Plan wydatków majątkowych na 2008 r. po zmianach</t>
  </si>
  <si>
    <t>Wykonanie  na 30.06.2008</t>
  </si>
  <si>
    <t>Struktura wydatków inwestycyjnych w                                                                                          2008 roku</t>
  </si>
  <si>
    <t>Budowa sieci wodociągowej w m.K-rz ul.Szkolna</t>
  </si>
  <si>
    <t>Budowa sieci wodociągowej w m.K-rz ul.Poznańska w kierunku do m.Brzezno</t>
  </si>
  <si>
    <t>Budowa SUW w m.Gaj Wielki</t>
  </si>
  <si>
    <t>Rozbudowa oczyszczalni ścieków w Kiączynie wraz z siecią kanalizacji sanitarnej (tzw.układ Kaźmierz-Kiączyn)</t>
  </si>
  <si>
    <t>Budowa sieci kanalizacji sanitarnej Kaźmierz ul.Nowowiejska</t>
  </si>
  <si>
    <t>Pomoc finansowa dla Powiatu Szamotulskiego na budowę dróg i chodników leżących na terenie Gminy Kaźmierz</t>
  </si>
  <si>
    <t>Dostarczanie wody</t>
  </si>
  <si>
    <t>Dotacja przedmiotowa z budżetu</t>
  </si>
  <si>
    <t>Wpływ z różnych dochodów</t>
  </si>
  <si>
    <t>Oczyszczanie miast i wsi</t>
  </si>
  <si>
    <t>Dział</t>
  </si>
  <si>
    <t>Opis</t>
  </si>
  <si>
    <t>Wytwarzanie i zaopatrywanie w energię, gaz, wodę</t>
  </si>
  <si>
    <t xml:space="preserve">Koszty w tym rozdziale zostały poniesione na: </t>
  </si>
  <si>
    <t>Wydatki osobowe nie zaliczone do wynagrodzeń-"BHP"</t>
  </si>
  <si>
    <t>* obsługę długu</t>
  </si>
  <si>
    <t>PRZYCHODY I ROZCHODY 2008 r.</t>
  </si>
  <si>
    <t>Wykonanie na 30.06.2008 r.</t>
  </si>
  <si>
    <t>za okres od 01.01.2008 r. – 30.06.2008 r.</t>
  </si>
  <si>
    <t>Plan przychodów/wydatków w 2008 r.</t>
  </si>
  <si>
    <t>Szkolenia pracowników niebędących członkami korpusu służb cywilnych</t>
  </si>
  <si>
    <t>WYKONANIE DOCHODÓW I WYDATKÓW NA ZADANIA ZLECONE GMINOM W 2008 r.</t>
  </si>
  <si>
    <t>Zał.do zał.Nr 1</t>
  </si>
  <si>
    <t>Struktura dochodów                                                                                         za okres od 01.01.2008r. –30.06.2008 r.</t>
  </si>
  <si>
    <r>
      <t>5.</t>
    </r>
    <r>
      <rPr>
        <sz val="12"/>
        <rFont val="Times New Roman"/>
        <family val="1"/>
      </rPr>
      <t xml:space="preserve"> Gminny Fundusz Ochrony Środowiska i Gospodarki Wodnej (Zał.nr 4)</t>
    </r>
  </si>
  <si>
    <r>
      <t xml:space="preserve">Przychody wykonano w wysokości          </t>
    </r>
    <r>
      <rPr>
        <b/>
        <sz val="12"/>
        <rFont val="Times New Roman"/>
        <family val="1"/>
      </rPr>
      <t>15.011,31 zł</t>
    </r>
  </si>
  <si>
    <r>
      <t xml:space="preserve">Wydatki    wykonano w wysokości            </t>
    </r>
    <r>
      <rPr>
        <b/>
        <sz val="12"/>
        <rFont val="Times New Roman"/>
        <family val="1"/>
      </rPr>
      <t>5.347,05 zł</t>
    </r>
  </si>
  <si>
    <t xml:space="preserve">         3.718.238,79 zł</t>
  </si>
  <si>
    <t>Wolne środki zgodnie z bilansem za rok 2007</t>
  </si>
  <si>
    <t>Budowa drogi dojazdowej do gruntów rolnych Gaj Wielki - Jankowice</t>
  </si>
  <si>
    <t>Budowa chodnika wraz z kanalizacją deszczową w ul.Reja w Kaźmierzu  (zmiana nazwy)</t>
  </si>
  <si>
    <t>Przebudowa ul.Okrężnej w Kaźmierzu</t>
  </si>
  <si>
    <t>Samochód śmieciarka.</t>
  </si>
  <si>
    <t xml:space="preserve">Remont i przebudowa płyty Rynku w Kaźmierzu </t>
  </si>
  <si>
    <t>Budowa targowiska w Kaźmierzu</t>
  </si>
  <si>
    <t>Budowa budynku mieszkalnego socjalnego w Kiączynie</t>
  </si>
  <si>
    <t>Rozbudowa budynku administracyjnego Urzędu Gminy w Kaźmierzu z uwzględnieniem dostosowania budynku dla osób niepełnosprawnych.</t>
  </si>
  <si>
    <t>Elektroniczna skrzynka podawcza, podpis elektroniczny</t>
  </si>
  <si>
    <t>Budowa Pomnika Powstańców Wielkopolskich w Kaźmierzu</t>
  </si>
  <si>
    <t>Budowa placów zabaw w sołectwach Gminy Kaźmierz</t>
  </si>
  <si>
    <t>Sprzęt do celów promocyjnych</t>
  </si>
  <si>
    <t>Monitoring SP w Kaźmierzu</t>
  </si>
  <si>
    <t>Modernizacja bloku żywieniowego</t>
  </si>
  <si>
    <t>Monitoring wizyjny w Gimnazjum w Kaźmierzu</t>
  </si>
  <si>
    <t>Zestawy komputerowe</t>
  </si>
  <si>
    <t>Wieszaki do hali sportowe</t>
  </si>
  <si>
    <t>Alkomat</t>
  </si>
  <si>
    <t>Oświetlenie dróg osiedlowych na terenie gminy Kaźmierz: m.Pólko</t>
  </si>
  <si>
    <t>Oświetlenie uliczne w  m.Komorowo</t>
  </si>
  <si>
    <t>Budowa sieci gazowej (bez przyłączy) od m.Pólko przez m.Piersko do m.Bytyń</t>
  </si>
  <si>
    <t>Budowa centrum rekreacyjno-sportowego w rejonie ul.Leśnej w Kaźmierzu</t>
  </si>
  <si>
    <t>Kosiarka MTD GUDBROD GLX wraz z rozrzutnikiem nawozu</t>
  </si>
  <si>
    <t xml:space="preserve">   619.938,06 zł, co stanowi 15,15% planu  (Zał.nr 5)</t>
  </si>
  <si>
    <t>DOCHODY GMINY KAŹMIERZ W 2008r.</t>
  </si>
  <si>
    <t>Zał.Nr 1 do Uchwały Nr _______ Rady Gminy Kaźmierz z dn.19.12.2007 r.</t>
  </si>
  <si>
    <t xml:space="preserve">Plan dochodów budżetowych na 2008 r.               </t>
  </si>
  <si>
    <t>Uchwała nr XXI/114/08  Rady Gminy Kaźmierz z dn.05.03.2008</t>
  </si>
  <si>
    <t>Uchwała nr XXII/120/08 Rady Gminy Kaźmierz z dn.22.04.2008</t>
  </si>
  <si>
    <t>Uchwała nr ___ Rady Gminy Kaźmierz z dn.27.06.2008</t>
  </si>
  <si>
    <t>Uchwała nr ___ Rady Gminy Kaźmierz z dn._____</t>
  </si>
  <si>
    <t xml:space="preserve">Za dzierżawę  obwodów łowieckich </t>
  </si>
  <si>
    <t>FOGR 58.500</t>
  </si>
  <si>
    <r>
      <t xml:space="preserve">Opłaty za grunty oddane w użytkowanie wieczyste </t>
    </r>
    <r>
      <rPr>
        <b/>
        <sz val="8"/>
        <rFont val="Times New Roman CE"/>
        <family val="0"/>
      </rPr>
      <t>25.216,00</t>
    </r>
    <r>
      <rPr>
        <sz val="8"/>
        <rFont val="Times New Roman CE"/>
        <family val="1"/>
      </rPr>
      <t xml:space="preserve"> i trwały zarząd </t>
    </r>
    <r>
      <rPr>
        <b/>
        <sz val="8"/>
        <rFont val="Times New Roman CE"/>
        <family val="0"/>
      </rPr>
      <t>17.146,00</t>
    </r>
  </si>
  <si>
    <r>
      <t xml:space="preserve">Za dzierżawę gruntów rolnych </t>
    </r>
    <r>
      <rPr>
        <b/>
        <sz val="8"/>
        <rFont val="Times New Roman CE"/>
        <family val="0"/>
      </rPr>
      <t>21.185,00</t>
    </r>
    <r>
      <rPr>
        <sz val="8"/>
        <rFont val="Times New Roman CE"/>
        <family val="1"/>
      </rPr>
      <t xml:space="preserve">,  gruntów pod usługi </t>
    </r>
    <r>
      <rPr>
        <b/>
        <sz val="8"/>
        <rFont val="Times New Roman CE"/>
        <family val="0"/>
      </rPr>
      <t>2.600,00</t>
    </r>
    <r>
      <rPr>
        <sz val="8"/>
        <rFont val="Times New Roman CE"/>
        <family val="1"/>
      </rPr>
      <t xml:space="preserve">,  gruntów pod wieżą telefonii komórkowej </t>
    </r>
    <r>
      <rPr>
        <b/>
        <sz val="8"/>
        <rFont val="Times New Roman CE"/>
        <family val="0"/>
      </rPr>
      <t>40.000,00</t>
    </r>
    <r>
      <rPr>
        <sz val="8"/>
        <rFont val="Times New Roman CE"/>
        <family val="1"/>
      </rPr>
      <t xml:space="preserve">,  za najem lokali użytkowych </t>
    </r>
    <r>
      <rPr>
        <b/>
        <sz val="8"/>
        <rFont val="Times New Roman CE"/>
        <family val="0"/>
      </rPr>
      <t>7.920,00</t>
    </r>
    <r>
      <rPr>
        <b/>
        <sz val="8"/>
        <rFont val="Times New Roman CE"/>
        <family val="1"/>
      </rPr>
      <t xml:space="preserve">, </t>
    </r>
    <r>
      <rPr>
        <sz val="8"/>
        <rFont val="Times New Roman CE"/>
        <family val="1"/>
      </rPr>
      <t>za dzierżawy przydrożnych alei drzew owocowych</t>
    </r>
    <r>
      <rPr>
        <b/>
        <sz val="8"/>
        <rFont val="Times New Roman CE"/>
        <family val="1"/>
      </rPr>
      <t xml:space="preserve"> </t>
    </r>
    <r>
      <rPr>
        <b/>
        <sz val="8"/>
        <rFont val="Times New Roman CE"/>
        <family val="0"/>
      </rPr>
      <t>300,00</t>
    </r>
  </si>
  <si>
    <r>
      <t xml:space="preserve">Raty za wykup mieszkań i budynków </t>
    </r>
    <r>
      <rPr>
        <b/>
        <sz val="8"/>
        <rFont val="Times New Roman CE"/>
        <family val="0"/>
      </rPr>
      <t>12.500,00</t>
    </r>
    <r>
      <rPr>
        <sz val="8"/>
        <rFont val="Times New Roman CE"/>
        <family val="1"/>
      </rPr>
      <t xml:space="preserve"> , sprzedaż nieruchomości </t>
    </r>
    <r>
      <rPr>
        <b/>
        <sz val="8"/>
        <rFont val="Times New Roman CE"/>
        <family val="0"/>
      </rPr>
      <t>900.000,00</t>
    </r>
    <r>
      <rPr>
        <sz val="8"/>
        <rFont val="Times New Roman CE"/>
        <family val="1"/>
      </rPr>
      <t xml:space="preserve"> ( dz.174 w Kopaninie , dz.1032 i 93/2 w Kaźmierzu, dz.30/1 i 30/2 w Kiączynie, dz.32/7 w Bytyniu, dz.174/1 i 174/2 w Młodasku) </t>
    </r>
  </si>
  <si>
    <t>Pismo Wojewody Wielkopolskiego z dnia 19.10.2007 r., znak FB.I-3.3010-25/07</t>
  </si>
  <si>
    <t>5% kwoty zaplanowanej przez Wojewodę Wielkopolskiego (pismo Wojewody Wielkopolskiego z dnia 19.10.2007 r., znak FB.I-3.3010-25/07)</t>
  </si>
  <si>
    <t>0570</t>
  </si>
  <si>
    <t>Grzywny, mandaty i inne kary pieniężne od osób fizycznych</t>
  </si>
  <si>
    <t>Wyrok sądowy sygn.akt II K 152/07 z dnia 23.03.2007 r.</t>
  </si>
  <si>
    <t>Opłaty za druki i specyfikacje do przetargów,  inne opłaty</t>
  </si>
  <si>
    <t>Dotacja na prowadzenie stałego rejestru wyborców w 2007r. ( pismo Krajowego Biura Wyborczego Delegatura w Pile z dnia 18.10.2007 r., znak DPL 3101-29/07 )</t>
  </si>
  <si>
    <t>Pismo Wojewody Wielkopolskiego z dnia 23.10.2006r., znak FB.I-3.3010-28/06</t>
  </si>
  <si>
    <t>Uchwała nr XIV/72/07 Rady Gminy Kaźmierz z dnia 13 października 2007 r.</t>
  </si>
  <si>
    <t>- koszty na materiały bieżącego utrzymania, materiały remontowe, w tym na ocieplenie ściany zewnętrznej budynku od strony toalet, materiały malarskie, materiały na kółko plastyczne, doposażenie kuchni w artykuły AGD, materiały edukacyjne do nauki gry na instrumentach muzycznych, nagrody na konkursy i imprezy dla dzieci</t>
  </si>
  <si>
    <t>- koszty usług bieżącego utrzymania, najmu lokalu GOK                                                       - koszty przewozu członków chóru "Moniuszko", zespołu "Kaźmierzanki" na występy, grupy baletowej,                                     - prace remontowe,                                        - koszty na organizację imprez kulturalnych i ich obsługę, przedstwawień dla dzieci, cykl koncertów edukacyjnych dla młodzieży szkolnej,                                                                                                - koszty patrolowania obiektu,</t>
  </si>
  <si>
    <t>Oprawy muzyczne imprez artystycznych, koncerty, obsługa imprez</t>
  </si>
  <si>
    <t>- koszty wynagrodzeń i pochodnych od wynagrodzeń pracowników zatrudnionych na umowę o pracę,                                               - koszty prowadzenia księgowości, zajęć plastycznych dla dzieci,                                                                          - koszty prac malarskich w GOK, prowadzenia koncertów muzycznych, konserwacji sprzętu muzycznego</t>
  </si>
  <si>
    <t>pracowników zatrudnionych na umowę o pracę</t>
  </si>
  <si>
    <t>- opłata abonamentowa RTV</t>
  </si>
  <si>
    <t>Koszty zakupu środków trwałych</t>
  </si>
  <si>
    <t>- koszt zakupu: projektora Optoma z ekranem Perfekta i systemem multimedialnym, szafy chłodniczej, kuchni gazowej 4-palnikowej na stojaku, gry świetlicowej - piłkarzyki, stołu do ping-ponga Tajfun Plus</t>
  </si>
  <si>
    <t>Koszty amortyzacji środków trwałych zakupionych w latach ubiegłych</t>
  </si>
  <si>
    <t>-ogniska muzyczne, organizacja imprez kulturalnych,</t>
  </si>
  <si>
    <t>odsetki ze środków na rk-u bankowym i prowizja płatnika składek z tyt. pod.dochod.</t>
  </si>
  <si>
    <t>Kaźmierz, dnia 8.11.2006 r.</t>
  </si>
  <si>
    <t>Załącznik nr 1</t>
  </si>
  <si>
    <t>do projektu planu przychodów i kosztów Gminnego Ośrodka Kultury w Kaźmierzu na 2007 r.</t>
  </si>
  <si>
    <t>Wykaz planowanych imprez kulturalnych i ich koszt:</t>
  </si>
  <si>
    <t>Wielka Orkiestra Świątecznej Pomocy</t>
  </si>
  <si>
    <t>Baliki dla dzieci</t>
  </si>
  <si>
    <t>Teatrzyki dla dzieci</t>
  </si>
  <si>
    <t>Dzień kobiet - koncert</t>
  </si>
  <si>
    <t>Myzyczna Jesień</t>
  </si>
  <si>
    <t>Letnie zabawy taneczne</t>
  </si>
  <si>
    <t>Dożynki i "Dni Kaźmierza"</t>
  </si>
  <si>
    <t>Koncerty edukacyjne dla szkół z terenu gminy</t>
  </si>
  <si>
    <t>Kaźmierz, 21.07.2008 r.</t>
  </si>
  <si>
    <t>Sporządził:</t>
  </si>
  <si>
    <t>Kierownik jednostki</t>
  </si>
  <si>
    <t>STAN NALEŻNOŚCI I ZOBOWIĄZAŃ NA DZIEŃ 30.06.2008 R.</t>
  </si>
  <si>
    <t>Stan środków na rachunku bankowym</t>
  </si>
  <si>
    <t>Stan zobowiązań ogółem,</t>
  </si>
  <si>
    <t>- zobowiązania niewymagalne z tyt. podatku dochodowego od os. fizycznych z tyt. wynagrodzeń</t>
  </si>
  <si>
    <t xml:space="preserve">- zobowiązania niewymagalne wobec ZUS z tyt. wynagrodzeń </t>
  </si>
  <si>
    <t>- zobowiązania niewymagalne z tytułu dostaw towarów i usług</t>
  </si>
  <si>
    <t>- zobowiązania wymagalne z tytułu dostaw towarów i usług</t>
  </si>
  <si>
    <t>Stan należności ogółem</t>
  </si>
  <si>
    <t>- należności wymagalne z tyt. dostaw usług</t>
  </si>
  <si>
    <t>Załącznik Nr 1</t>
  </si>
  <si>
    <t>Załącznik nr 1                                do Zarządzenia nr 5/2008                                 Dyrektora                                      z dnia 27.06.2008 r.</t>
  </si>
  <si>
    <t>Projekt planu 2008</t>
  </si>
  <si>
    <t>Zmiana nr 1   18.12.2007</t>
  </si>
  <si>
    <t>Plan 2008</t>
  </si>
  <si>
    <t>Zmiana nr 1 31.01.2008 r.</t>
  </si>
  <si>
    <t>Zmiana nr 2            22.04.2008 r.</t>
  </si>
  <si>
    <t>Zmiana nr 3 30.05.2008 r.</t>
  </si>
  <si>
    <t xml:space="preserve">Zmiana nr 4 27.06.2008 r. </t>
  </si>
  <si>
    <r>
      <t>Rozdział ten obejmuje wpływy: ze sprzedaży wody, opłaty stałej, opłat za przyłączenie do sieci wodociągowej, ze sprzedaży wodomierzy.                                                                                                     Od 1 kwietnia 2008 r. wzrosła stawka za 1m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wody dla gospodarstw domowych i innych podmiotów gospodarczych  o 0,07 zł + Vat,</t>
    </r>
  </si>
  <si>
    <t>Drogi pubiczne gminne</t>
  </si>
  <si>
    <t>Rozdział ten nie jest działem dochodowym, w całości finansowany jest z dotacji przedmiotowej z budżetu (do 1 km drogi gminnej - 2285,28 zł)</t>
  </si>
  <si>
    <t xml:space="preserve">Rozdział ten obejmuje wpływy z zakresu: najmu lokali mieszkalnych, użytkowych i pomieszczeń gospodarczych, dzierżawy ogródków przydomowych, świadczonych usług komunalnych (centralne ogrzewnie, podgrzanie wody) oraz refakturowanych kosztów energii. </t>
  </si>
  <si>
    <r>
      <t>Rozdział ten obejmuje wpływy z tytułu: odprowadzania ścieków dopływających, dowożonych, opłat za przyłączenie do sieci kanalizacji sanitarnej, sprzedaży mikroflory i dotacji przedmiotowej z budżetu (bez podatku Vat) tytułem dopłaty do  1 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ścieków (0,35 zł do 1m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ścieków odprowadzonych do sieci kanalizacyjnej, 1,26 zł do 1m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ścieków dowożonych do oczyszczalni ścieków). Od 1.04.2008 r. wzrosła stawka za odprowadzanie ścieków o 0,30 zł za 1m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+ Vat.</t>
    </r>
  </si>
  <si>
    <t>Rozdział ten obejmuje wpływy z tytułu: wywozu nieczystości stałych i płynnych, ze sprzedaży pojemników, refakturowanej opłaty na rzecz Urzędu Marszałkowskiego za składowanie odpadów na wysypisku.</t>
  </si>
  <si>
    <r>
      <t>Rozdział ten nie jest działem dochodowym, w całości finansowany jest z dotacji przedmiotowej z budżetu                                                                            (do 1000 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terenów zieleni 308,25 zł),</t>
    </r>
  </si>
  <si>
    <t>Rozdział obejmuje wpływy z tytułu: przewozu osób, głównie dowozu dzieci do szkół oraz usług wykonywanych przez ekipę na rzecz innych podmiotów m.in. usług w zakresie budowy sieci wodociągowej z przyłączami w miejscowości Bytyń - Tartak, przyłączy wodociągowo-kanalizacyjnych, remontów, usług wykonywanych koparką JCB.</t>
  </si>
  <si>
    <t>Załącznik Nr 2</t>
  </si>
  <si>
    <t>Załącznik nr 2                                do Zarządzenia nr 5/2008                                 Dyrektora                                      z dnia 27.06.2008 r.</t>
  </si>
  <si>
    <t>zmiana</t>
  </si>
  <si>
    <t>Zmiana nr 2          22.04.2008 r.</t>
  </si>
  <si>
    <t>Suma zmian</t>
  </si>
  <si>
    <t>- utrzymanie sieci wodociągowych, 3 stacji uzdatniania wody, usuwanie awarii wodociągowych, utrzymanie przyłączy wodociągowych, dozór techniczy nad zbiornikami ciśnieniowymi, utrzymanie pojazdów, usługi zdrowotne na rzecz pracowników,</t>
  </si>
  <si>
    <t>- opłaty za gospodarcze korzystanie ze środowiska przekazywane do Urzędu Marszałkowskiego w Poznaniu,  opłata za trwały zarząd, opłaty za umieszczenie sieci wodociągowych w pasie drogowym i dzierżawa działki pod sieć wodociągową w Pólku, ubezpieczenia pojazdów,</t>
  </si>
  <si>
    <t>- podatek od nieruchomości,</t>
  </si>
  <si>
    <t>- utrzymanie i utwardzanie dróg, utrzymanie pojazdów, zakup niesortowanej mieszanki, najem maszyn i urządzeń służących polepszeniu stanu dróg gminnych, usługi zdrowotne na rzecz pracowników</t>
  </si>
  <si>
    <t>- opłaty za korzystanie ze środowiska przekazywane do Urzędu Marszałkowskiego w Poznaniu, ubezpieczenie pojazdów, opłaty związane z rejestracją pojazdów,</t>
  </si>
  <si>
    <r>
      <t>1.</t>
    </r>
    <r>
      <rPr>
        <sz val="8"/>
        <rFont val="Times New Roman CE"/>
        <family val="1"/>
      </rPr>
      <t xml:space="preserve"> Raty za wykup mieszkań i budynków </t>
    </r>
    <r>
      <rPr>
        <b/>
        <sz val="8"/>
        <rFont val="Times New Roman CE"/>
        <family val="0"/>
      </rPr>
      <t>8.323,57</t>
    </r>
    <r>
      <rPr>
        <sz val="8"/>
        <rFont val="Times New Roman CE"/>
        <family val="1"/>
      </rPr>
      <t xml:space="preserve"> ,                                                                                        </t>
    </r>
    <r>
      <rPr>
        <b/>
        <sz val="8"/>
        <rFont val="Times New Roman CE"/>
        <family val="0"/>
      </rPr>
      <t>2.</t>
    </r>
    <r>
      <rPr>
        <sz val="8"/>
        <rFont val="Times New Roman CE"/>
        <family val="1"/>
      </rPr>
      <t xml:space="preserve"> Na koniec I półrocza 2008 wystąpiła zaległość w sprzedaży ratalnej na kwotę </t>
    </r>
    <r>
      <rPr>
        <b/>
        <sz val="8"/>
        <rFont val="Times New Roman CE"/>
        <family val="0"/>
      </rPr>
      <t>4.247,58</t>
    </r>
    <r>
      <rPr>
        <sz val="8"/>
        <rFont val="Times New Roman CE"/>
        <family val="1"/>
      </rPr>
      <t xml:space="preserve"> .                                                                                             </t>
    </r>
  </si>
  <si>
    <t>Dotacja na zadania bieżące z zakresu administracji rządowej (pisma Wojewody Wielkopolskiego z dnia 19.10.2007 r., znak FB.I-3.3010-25/07 i z dnia 21.02.2008 r. znak FB.I-3.3010-3/08)</t>
  </si>
  <si>
    <t>5% kwoty zaplanowanej przez Wojewodę Wielkopolskiego (pisma Wojewody Wielkopolskiego z dnia 19.10.2007 r., znak FB.I-3.3010-25/07 i z dnia 21.02.2008 r. znak FB.I-3.3010-3/08)</t>
  </si>
  <si>
    <t>Opłaty za tablice posesyjne.</t>
  </si>
  <si>
    <t>Dotacja na prowadzenie stałego rejestru wyborców w 2008r. ( pisma Krajowego Biura Wyborczego Delegatura w Pile z dnia 18.10.2007 r., znak DPL 3101-29/07 i z dnia 25.02.2008, znak DPL 3101-3/08 )</t>
  </si>
  <si>
    <t>Rekompensata za utracone dochody z tytułu zwolnień ustawowych w podatku od nieruchomości</t>
  </si>
  <si>
    <r>
      <t>Zaległości</t>
    </r>
    <r>
      <rPr>
        <sz val="8"/>
        <rFont val="Times New Roman CE"/>
        <family val="1"/>
      </rPr>
      <t xml:space="preserve"> - 8.495,94                                                                    Wystawiono  4 upomnienia na kwotę 22.782,60</t>
    </r>
  </si>
  <si>
    <r>
      <t>Zaległości</t>
    </r>
    <r>
      <rPr>
        <sz val="8"/>
        <rFont val="Times New Roman CE"/>
        <family val="1"/>
      </rPr>
      <t xml:space="preserve"> -1.227,10                                                                                              Wystawiono 2 upomnienia na kwotę 927,00</t>
    </r>
  </si>
  <si>
    <r>
      <t xml:space="preserve">Odsetki za nieterminowe regulowanie należności podatkowych                                                                                                 </t>
    </r>
  </si>
  <si>
    <r>
      <t>Zaległości</t>
    </r>
    <r>
      <rPr>
        <sz val="8"/>
        <rFont val="Times New Roman CE"/>
        <family val="1"/>
      </rPr>
      <t xml:space="preserve"> - 8,00                                                                                                                                           </t>
    </r>
  </si>
  <si>
    <t>- wynagrodzenia wraz z pochodnymi od wynagrodzeń pracowników zatrudnionych na umowę zlecenie (sprzątanie pomieszczeń biurowych, prace gospodarcze) i umowę o dzieło (opracownie planu organizacji ruchu przy drodze powiatowej z Witkowic do Kaźmierza i ul.Konopnickiej w Kaźmierzu oraz przy drodze powiatowej ul.Poznańska w Kaźmierzu w związku z budową wodociągu i przyłączy wodociągowych w tym rejonie),</t>
  </si>
  <si>
    <t>- bieżące utrzymanie autobusów, przyczep, koparki, koszty obsługi biurowej Zakładu, zakup materiałów i usług dotyczących prowadzonych prac inwestycyjnych na rzecz Urzędu Gminy w Kaźmierzu (budowa sieci wodociągowej w miejscowości Bytyń - Tartak ok. 2400mb, budowa sieci kanalizacji sanitarnej rej. ul. Żniwnej w Kaźmierzu), Gminnego Zespołu Oświatowego w Kaźmierzu (budowa placu przy Gimnazjum w Kaźmierzu) i innych jednostek i osób fizycznych,</t>
  </si>
  <si>
    <t>- abonament za dostęp do sieci Internet,</t>
  </si>
  <si>
    <t xml:space="preserve">- ubezpieczenia pojazdów: autobusów, koparki, przyczep, sprzętu komputerowego, opłaty skarbowe, drogowe, winiety, opłaty za gospodarcze korzystanie ze środowiska przekazywane do Urzędu Marszałkowskiego w Poznaniu, </t>
  </si>
  <si>
    <t>- odpis na ZFŚS,</t>
  </si>
  <si>
    <t>- odsetki za zwłokę w zapłacie zobowiązań z lat ubiegłych,</t>
  </si>
  <si>
    <t>- zakup akcesoriów komputerowych, licencji na oprogramowanie, tuszy i tonerów do drukarek,</t>
  </si>
  <si>
    <t>- doposażenie zestawów komputerowych</t>
  </si>
  <si>
    <t>ZA OKRES OD 01.01.2008 r. DO 30.06.2008 r.</t>
  </si>
  <si>
    <t>Plan finansowy Zakładu Usług Komunalnych na 2008 r. to:</t>
  </si>
  <si>
    <t>- dotacje celowe otrzymane z budżetu na finansowanie lub dofinansowanie kosztów realizacji inwestycji i zakupów inwestycyjnych zakładów budżetowych</t>
  </si>
  <si>
    <t>Natomiast wykonanie planu finansowego na dzień 30.06.2008 r.przedstawia się następująco:</t>
  </si>
  <si>
    <t>w tym wydatki na zakupy inwestycyjne:</t>
  </si>
  <si>
    <t>- ze środków własnych</t>
  </si>
  <si>
    <t>- ze środków z dotacji celowej otrzymanej z budżetu</t>
  </si>
  <si>
    <t>Stan konta bankowego na 30.06.2008</t>
  </si>
  <si>
    <t>Zakup artykułów spożywczych, zakup biletów na spektakle teatralne dla dzieci, prowizje bankowe.</t>
  </si>
  <si>
    <t>Zakup artykułów spożywczych, wyposażenia kuchni, środków dydaktycznych, prowizje bankowe</t>
  </si>
  <si>
    <t>Zakup artykułów spożywczych, zakup książek, prowizje bankowe, zakup artykułów papierniczych.</t>
  </si>
  <si>
    <t>Zakup artykułów spożywczych, wyposażenia kuchni,drukarki, zxestawu komputerowego, zmywarki, klimatyzatora, prowizje bankowe</t>
  </si>
  <si>
    <t>Wpływy z opłat za legitymacje, z kapitalizacji odsetek bankowych, dobrowolne wpłaty oraz za makulaturę.</t>
  </si>
  <si>
    <t>Zakup książek, materiałów i wyposażenia, odtwzrzacza DVD, telewizora, pomocy dydaktycznych, prowizje bankowe</t>
  </si>
  <si>
    <t>Plan dochodów/wydatków w 2008 r.</t>
  </si>
  <si>
    <t>Wykonanie dochodów/wydatków w 2008 roku</t>
  </si>
  <si>
    <t>DOTACJE GMINY KAŹMIERZ W 2008 r.</t>
  </si>
  <si>
    <t>Plan przychodów i kosztów Gminnej Biblioteki Publicznej w Kaźmierzu na rok 2008 i wykonanie na dzień 30.06.2008 r</t>
  </si>
  <si>
    <t>Plan po zmianach 2008</t>
  </si>
  <si>
    <t>Wykonanie planu na dzień 30.06.08</t>
  </si>
  <si>
    <t>Opis poszczególnych kosztów w 2008 r.</t>
  </si>
  <si>
    <t>- koszty remontów</t>
  </si>
  <si>
    <t>Koszty remontu instalacji CO</t>
  </si>
  <si>
    <t>Dotacja Urzędu Marszałkowskiego</t>
  </si>
  <si>
    <t>Dotacja z Urzędu Marszałkowskiego</t>
  </si>
  <si>
    <t>- wpłaty indywidualne</t>
  </si>
  <si>
    <t>Opis wykonania przychodów w I półroczu 2008 roku</t>
  </si>
  <si>
    <t>- koszty poniesione na zakup materiałow biurowych - tonery do kopiarki, drukarek, papier, kartoteki, druki biblioteczne , program antyviritp..</t>
  </si>
  <si>
    <t xml:space="preserve">- materiały na cele naprawcze, materiały dekoracyjne, artykuły spożywcze na spotkania autorskie, </t>
  </si>
  <si>
    <t>- koszty zakupu książek -  1.225  nowych woluminów</t>
  </si>
  <si>
    <t>- koszty zakupu gazu - ogrzewanie Biblioteki Publicznej i pomieszczeń kinowej</t>
  </si>
  <si>
    <t>- konserwacja ksero, prace systemowe - komputery,przegląd pieca CO,przegląd gaśnic</t>
  </si>
  <si>
    <t>-koszty usług fotograficznych i pralniczych, spektaklu teatralnegodladzieci</t>
  </si>
  <si>
    <t>- koszty wynagrodzenia pracowników Biblioteki w Kaźmierzu, Bytyniu i Gaju Wielkim, łącznie z nagrodami jubileuszowmii odprawmi emerytalnyni</t>
  </si>
  <si>
    <t>-  opłata z tytułu trwałego użytkowania nieruchomości za 2007 rok 586,89, ubezpieczenie sprzętu</t>
  </si>
  <si>
    <t>Dotacja Urzędu Gminy w Kaźmierzu -</t>
  </si>
  <si>
    <t>Dotacja Ministerwa</t>
  </si>
  <si>
    <t>Dotacja Ministerwa Kultury</t>
  </si>
  <si>
    <t>-wypożyczaniekaset</t>
  </si>
  <si>
    <t>Pomoc materialna dla uczniów</t>
  </si>
  <si>
    <t>Gospodarka komunalna i ochrona środowiska</t>
  </si>
  <si>
    <t>Fundusz Ochrony Środowiska i Gospodarki Wodnej</t>
  </si>
  <si>
    <t>0400</t>
  </si>
  <si>
    <t>Wpływy z opłaty produktowej</t>
  </si>
  <si>
    <t>Kultura i ochrona dziedzictwa narodowego</t>
  </si>
  <si>
    <t>Biblioteki</t>
  </si>
  <si>
    <t>Usługi remontowe</t>
  </si>
  <si>
    <t>Plany zagospodarowania przestrzennego</t>
  </si>
  <si>
    <t>Różne wydatki na rzecz osób fizycznych</t>
  </si>
  <si>
    <t>Dotacje celowe otrzymane z budżetu państwa na zadania bieżące realizowane przez gminę na podstawie porozumień z organami administracji rządowej</t>
  </si>
  <si>
    <t>OGÓŁEM</t>
  </si>
  <si>
    <t>SPRAWOZDANIE</t>
  </si>
  <si>
    <t>z przebiegu wykonania budżetu Gminy Kaźmierz</t>
  </si>
  <si>
    <t>Zał.Nr 2</t>
  </si>
  <si>
    <t>Rozdz.</t>
  </si>
  <si>
    <t>Plan wydatków po zmianach</t>
  </si>
  <si>
    <t>Środki do wykorzystania</t>
  </si>
  <si>
    <t>01008</t>
  </si>
  <si>
    <t>Melioracje wodne</t>
  </si>
  <si>
    <t>Zakup materiałów i wyposażenia</t>
  </si>
  <si>
    <t>Zakup usług remontowych</t>
  </si>
  <si>
    <t>Zakup usług pozostałych</t>
  </si>
  <si>
    <t>Wydatki inwestycyjne jednostek budżetowych</t>
  </si>
  <si>
    <t>01022</t>
  </si>
  <si>
    <t>Zwalczanie chorób zakaźnych zwierząt oraz badania monitoringowe pozostałości chemicznych i biologicznych w tkankach zwierząt i produktach pochodzenia zwierzęcego</t>
  </si>
  <si>
    <t>01030</t>
  </si>
  <si>
    <t>Izby rolnicze</t>
  </si>
  <si>
    <t>Wpłaty gmin na rzecz izb rolniczych w wysokości 2% uzyskanych wpływów z podatku rolnego</t>
  </si>
  <si>
    <t>Różne opłaty i składki</t>
  </si>
  <si>
    <t>Dotacja celowa na pomoc finansową udzielaną między jednostkami samorządu terytorialnego na dofinansowanie własnych zadań bieżących</t>
  </si>
  <si>
    <t>zobowiązania z tytułu ubezpieczeń społecznych od wynagrodzeń</t>
  </si>
  <si>
    <t>zobowiązania kredytowe i pożyczkowe</t>
  </si>
  <si>
    <t>za okres od 01.01.2008r. – 30.06.2008 r.</t>
  </si>
  <si>
    <r>
      <t>1.</t>
    </r>
    <r>
      <rPr>
        <sz val="12"/>
        <rFont val="Times New Roman"/>
        <family val="1"/>
      </rPr>
      <t xml:space="preserve"> Budżet gminy na 2008 r. uchwalony został 19 grudnia 2007 r. uchwałą Rady Gminy Kaźmierz </t>
    </r>
  </si>
  <si>
    <t>dochody bieżące</t>
  </si>
  <si>
    <t>dochody majątkowe</t>
  </si>
  <si>
    <r>
      <t xml:space="preserve">-         w kwocie   </t>
    </r>
    <r>
      <rPr>
        <b/>
        <sz val="12"/>
        <rFont val="Times New Roman"/>
        <family val="1"/>
      </rPr>
      <t>16.282.082,00 zł</t>
    </r>
    <r>
      <rPr>
        <sz val="12"/>
        <rFont val="Times New Roman"/>
        <family val="1"/>
      </rPr>
      <t xml:space="preserve"> po stronie dochodów,</t>
    </r>
  </si>
  <si>
    <r>
      <t xml:space="preserve">-         w kwocie   </t>
    </r>
    <r>
      <rPr>
        <b/>
        <sz val="12"/>
        <rFont val="Times New Roman"/>
        <family val="1"/>
      </rPr>
      <t>16.145.584,00 zł</t>
    </r>
    <r>
      <rPr>
        <sz val="12"/>
        <rFont val="Times New Roman"/>
        <family val="1"/>
      </rPr>
      <t xml:space="preserve"> po stronie wydatków,</t>
    </r>
  </si>
  <si>
    <r>
      <t xml:space="preserve">-         w kwocie        </t>
    </r>
    <r>
      <rPr>
        <b/>
        <sz val="12"/>
        <rFont val="Times New Roman"/>
        <family val="1"/>
      </rPr>
      <t>250.000,00 zł</t>
    </r>
    <r>
      <rPr>
        <sz val="12"/>
        <rFont val="Times New Roman"/>
        <family val="1"/>
      </rPr>
      <t xml:space="preserve"> po stronie przychodów,</t>
    </r>
  </si>
  <si>
    <r>
      <t xml:space="preserve">-         w kwocie        </t>
    </r>
    <r>
      <rPr>
        <b/>
        <sz val="12"/>
        <rFont val="Times New Roman"/>
        <family val="1"/>
      </rPr>
      <t>386.498,00 zł</t>
    </r>
    <r>
      <rPr>
        <sz val="12"/>
        <rFont val="Times New Roman"/>
        <family val="1"/>
      </rPr>
      <t xml:space="preserve"> po stronie rozchodów.</t>
    </r>
  </si>
  <si>
    <t xml:space="preserve">·        dochody zwiększono o kwotę </t>
  </si>
  <si>
    <t xml:space="preserve">·        wydatki zwiększono o kwotę </t>
  </si>
  <si>
    <t>·        przychody zwiększono o kwotę</t>
  </si>
  <si>
    <t>·        rozchody zwiększono o kwotę</t>
  </si>
  <si>
    <t>·        dochodów zamykał się kwotą</t>
  </si>
  <si>
    <t>·        wydatków zamykał się kwotą</t>
  </si>
  <si>
    <t>·        przychodów zamykał się kwotą</t>
  </si>
  <si>
    <t>·        rozchodów zamykał się kwotą</t>
  </si>
  <si>
    <t>wydatki bieżące</t>
  </si>
  <si>
    <t>* wynagrodzenia i pochodne od wynagrodzeń</t>
  </si>
  <si>
    <t>* dotacje</t>
  </si>
  <si>
    <t>- dla samorządowych instytucji kultury</t>
  </si>
  <si>
    <t>- dla placówki niepublicznej</t>
  </si>
  <si>
    <t>- dla stowarzyszeń</t>
  </si>
  <si>
    <t>* obsługa długu</t>
  </si>
  <si>
    <t>wydatki majątkowe</t>
  </si>
  <si>
    <t>- wynagrodzenia wraz z pochodnymi od wynagrodzeń  pracowników zatrudnionych na umowę o pracę i inne świadczenia na rzecz pracowników objęte przepisami BHP,</t>
  </si>
  <si>
    <t>Dodatkowe wynagrodzenie roczne</t>
  </si>
  <si>
    <r>
      <t>-</t>
    </r>
    <r>
      <rPr>
        <sz val="7"/>
        <rFont val="Times New Roman"/>
        <family val="1"/>
      </rPr>
      <t>        </t>
    </r>
    <r>
      <rPr>
        <sz val="12"/>
        <rFont val="Times New Roman"/>
        <family val="1"/>
      </rPr>
      <t>budowę sieci wodociągowej  w Kaźmierzu rej. ul.Gołębiej</t>
    </r>
  </si>
  <si>
    <r>
      <t>-</t>
    </r>
    <r>
      <rPr>
        <sz val="7"/>
        <rFont val="Times New Roman"/>
        <family val="1"/>
      </rPr>
      <t>        </t>
    </r>
    <r>
      <rPr>
        <sz val="12"/>
        <rFont val="Times New Roman"/>
        <family val="1"/>
      </rPr>
      <t>budowę sieci wodociągowej  w Kaźmierzu rej.ul.Polna-Reja</t>
    </r>
  </si>
  <si>
    <r>
      <t>-</t>
    </r>
    <r>
      <rPr>
        <sz val="7"/>
        <rFont val="Times New Roman"/>
        <family val="1"/>
      </rPr>
      <t>        </t>
    </r>
    <r>
      <rPr>
        <sz val="12"/>
        <rFont val="Times New Roman"/>
        <family val="1"/>
      </rPr>
      <t>budowę sieci wodociągowej w m.Radzyny ul.Krańcowa 1 - 3</t>
    </r>
  </si>
  <si>
    <r>
      <t>-</t>
    </r>
    <r>
      <rPr>
        <sz val="7"/>
        <rFont val="Times New Roman"/>
        <family val="1"/>
      </rPr>
      <t>        </t>
    </r>
    <r>
      <rPr>
        <sz val="12"/>
        <rFont val="Times New Roman"/>
        <family val="1"/>
      </rPr>
      <t>budowę sieci wodociągowej w m.Bytyń-Tartak</t>
    </r>
  </si>
  <si>
    <r>
      <t>-</t>
    </r>
    <r>
      <rPr>
        <sz val="7"/>
        <rFont val="Times New Roman"/>
        <family val="1"/>
      </rPr>
      <t>        </t>
    </r>
    <r>
      <rPr>
        <sz val="12"/>
        <rFont val="Times New Roman"/>
        <family val="1"/>
      </rPr>
      <t>budowę sieci wodociągowej w m.Radzyny Chrusty</t>
    </r>
  </si>
  <si>
    <r>
      <t>-</t>
    </r>
    <r>
      <rPr>
        <sz val="7"/>
        <rFont val="Times New Roman"/>
        <family val="1"/>
      </rPr>
      <t>        </t>
    </r>
    <r>
      <rPr>
        <sz val="12"/>
        <rFont val="Times New Roman"/>
        <family val="1"/>
      </rPr>
      <t>budowę sieci wodociągowej Dolne Pole - Brzezno</t>
    </r>
  </si>
  <si>
    <r>
      <t>-</t>
    </r>
    <r>
      <rPr>
        <sz val="7"/>
        <rFont val="Times New Roman"/>
        <family val="1"/>
      </rPr>
      <t>        </t>
    </r>
    <r>
      <rPr>
        <sz val="12"/>
        <rFont val="Times New Roman"/>
        <family val="1"/>
      </rPr>
      <t>budowę sieci wodociągowej  w Kaźmierzu ul.Nowowiejska</t>
    </r>
  </si>
  <si>
    <r>
      <t>-</t>
    </r>
    <r>
      <rPr>
        <sz val="7"/>
        <rFont val="Times New Roman"/>
        <family val="1"/>
      </rPr>
      <t>        </t>
    </r>
    <r>
      <rPr>
        <sz val="12"/>
        <rFont val="Times New Roman"/>
        <family val="1"/>
      </rPr>
      <t>modernizacja SUW w m.Gaj Wielki</t>
    </r>
  </si>
  <si>
    <r>
      <t>7.</t>
    </r>
    <r>
      <rPr>
        <sz val="12"/>
        <rFont val="Times New Roman"/>
        <family val="1"/>
      </rPr>
      <t xml:space="preserve"> Sprawozdanie z przebiegu wykonania budżetu Zakładu Usług Komunalnych w Kaźmierzu w  I półroczu 2008 roku przedstawia zał.nr 7</t>
    </r>
  </si>
  <si>
    <r>
      <t xml:space="preserve">Dochody za:                                                                                     * wpis do ewidencji działalności gospodarczej </t>
    </r>
    <r>
      <rPr>
        <b/>
        <sz val="8"/>
        <rFont val="Times New Roman CE"/>
        <family val="1"/>
      </rPr>
      <t>4.550,00</t>
    </r>
    <r>
      <rPr>
        <sz val="8"/>
        <rFont val="Times New Roman CE"/>
        <family val="1"/>
      </rPr>
      <t xml:space="preserve">                                                                                                             * zajęcie pasa drogowego </t>
    </r>
    <r>
      <rPr>
        <b/>
        <sz val="8"/>
        <rFont val="Times New Roman CE"/>
        <family val="1"/>
      </rPr>
      <t>2.801,38</t>
    </r>
    <r>
      <rPr>
        <sz val="8"/>
        <rFont val="Times New Roman CE"/>
        <family val="1"/>
      </rPr>
      <t xml:space="preserve">                                                                                           * opłaty adiacenckie podziałowa </t>
    </r>
    <r>
      <rPr>
        <b/>
        <sz val="8"/>
        <rFont val="Times New Roman CE"/>
        <family val="1"/>
      </rPr>
      <t>148.240,00</t>
    </r>
    <r>
      <rPr>
        <sz val="8"/>
        <rFont val="Times New Roman CE"/>
        <family val="1"/>
      </rPr>
      <t xml:space="preserve">                                                                     * opłaty planistyczne </t>
    </r>
    <r>
      <rPr>
        <b/>
        <sz val="8"/>
        <rFont val="Times New Roman CE"/>
        <family val="1"/>
      </rPr>
      <t xml:space="preserve">9.631,36 </t>
    </r>
    <r>
      <rPr>
        <sz val="8"/>
        <rFont val="Times New Roman CE"/>
        <family val="1"/>
      </rPr>
      <t xml:space="preserve">(zaległości 178.218,60)                                                                              * inne </t>
    </r>
    <r>
      <rPr>
        <b/>
        <sz val="8"/>
        <rFont val="Times New Roman CE"/>
        <family val="1"/>
      </rPr>
      <t>420,00</t>
    </r>
  </si>
  <si>
    <t>Załączniki do pisma Ministra Finansów z dnia 10.10.2007 r., znak ST3-4820-26/2007 i z dnia 12.02.2008 r., znak ST3/4820/1/08</t>
  </si>
  <si>
    <t>Wpływy za usługi gminnych przedszkoli (Uchwała nr XV/78/07 Rady Gminy Kaźmierz z dnia 29 października  2007 r.)</t>
  </si>
  <si>
    <t>Pomoc finansowa przyznana przez Województwo Wielkopolskie w postaci dotacji celowej na realizację zadania pn."Remont sali gimnastycznej w Kaźmierzu". (Uchwała Nr:XXIV/325/08 Sejmiku Województwa Wielkopolskiego z dnia 26.05.2008 r.)</t>
  </si>
  <si>
    <t>Dotacja na dofinansowanie realizacji Programu wieloletniego "Pomoc państwa w zakresie dożywiania"  (pisma Wojewody Wielkopolskiego z dnia 19.10.2007 r., znak FB.I-3.3010-25/07,  z dnia 21.02.2008 r., znak FB.I-3.3010-3/08 i z dnia 07.05.2008 r., znak FB.I-3.3011-177/08)</t>
  </si>
  <si>
    <t>WYDATKI GMINY KAŹMIERZ W 2008r.</t>
  </si>
  <si>
    <t xml:space="preserve">Plan wydatków budżetowych na 2008r. </t>
  </si>
  <si>
    <t>Wydziały</t>
  </si>
  <si>
    <t>Wójt</t>
  </si>
  <si>
    <t>Zarządzanie kryzysowe</t>
  </si>
  <si>
    <t>Dotacje celowe przekazane gminie na zadania bieżące realizowane na podstawie porozumień (umów) między jednostkami samorządu terytorialnego</t>
  </si>
  <si>
    <t>Zwalczanie narkomanii</t>
  </si>
  <si>
    <t>Wydatki</t>
  </si>
  <si>
    <t>Opłaty za administrowanie i czynsze za budynki, lokale i pomieszczenia garażowe</t>
  </si>
  <si>
    <t>Wykonanie planu przychodów i kosztów  Gminnego Ośrodka Kultury w Kaźmierzu na dzień 30.06.2008 rok</t>
  </si>
  <si>
    <t xml:space="preserve">Projekt planu na 2008 r.                                </t>
  </si>
  <si>
    <t>Korekta 1                                 z dnia 3.12.2007 r.</t>
  </si>
  <si>
    <t xml:space="preserve">Plan na                2008 rok </t>
  </si>
  <si>
    <t>Wykonanie planu na dzień 30.06.2008 r.</t>
  </si>
  <si>
    <t>Opis do korekty nr 1</t>
  </si>
  <si>
    <t>Opis I półrocze 2007</t>
  </si>
  <si>
    <t>27-6-2008</t>
  </si>
  <si>
    <t>b)     w m. Kaźmierz ul. Poznańska w kierunku Brzezna</t>
  </si>
  <si>
    <t>c)     na odcinku Radzyny – Chrusty,</t>
  </si>
  <si>
    <t>d)     w m. Bytyń, ul. Dębowa.</t>
  </si>
  <si>
    <t>4.      Wykonano kolejne odcinki kanalizacji sanitarnej:</t>
  </si>
  <si>
    <r>
      <t>-</t>
    </r>
    <r>
      <rPr>
        <sz val="7"/>
        <rFont val="Times New Roman"/>
        <family val="1"/>
      </rPr>
      <t>        </t>
    </r>
    <r>
      <rPr>
        <sz val="12"/>
        <rFont val="Times New Roman"/>
        <family val="1"/>
      </rPr>
      <t>budowę sieci wodociągowej w m.Kopanina</t>
    </r>
  </si>
  <si>
    <r>
      <t>-</t>
    </r>
    <r>
      <rPr>
        <sz val="7"/>
        <rFont val="Times New Roman"/>
        <family val="1"/>
      </rPr>
      <t>        </t>
    </r>
    <r>
      <rPr>
        <sz val="12"/>
        <rFont val="Times New Roman"/>
        <family val="1"/>
      </rPr>
      <t>budowę sieci wodociągowej w m.Radzyny ul.Leśna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</si>
  <si>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utylizację odpadów</t>
    </r>
  </si>
  <si>
    <t>020  LEŚNICTWO</t>
  </si>
  <si>
    <t>600  TRANSPORT I ŁĄCZNOŚĆ</t>
  </si>
  <si>
    <t xml:space="preserve">-      zwrot podatku akcyzowego </t>
  </si>
  <si>
    <t xml:space="preserve">-      koszt obsługi zwrotu podatku akcyzowego </t>
  </si>
  <si>
    <t>700  GOSPODARKA MIESZKANIOWA</t>
  </si>
  <si>
    <t>Wydatkowano na:</t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</si>
  <si>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usługi dotyczące nazewnictwa ulic i numeracji posesji</t>
    </r>
  </si>
  <si>
    <t>- wydatki na zakupy inwestycyjne ( zestaw komputerowy)</t>
  </si>
  <si>
    <t>-  pomoce naukowe, dydaktyczne, zakup książek</t>
  </si>
  <si>
    <t xml:space="preserve">Przedszkola Niepubliczne </t>
  </si>
  <si>
    <t>Wydatki w tym rozdziale to dotacja na działalność Przedszkola Niepublicznego w Sokolnikach Wielkich oraz zwrot wg porozumienia za pobyt dzieci w przedszkolu niepublicznym w Gminie Tarnowo Podgórne</t>
  </si>
  <si>
    <t xml:space="preserve">- usługa dowożenia, która obejmuje dowożenie uczniów do gimnazjum oraz do szkół podstawowych </t>
  </si>
  <si>
    <t>- wynagrodzenia bezosobowe</t>
  </si>
  <si>
    <r>
      <t>·</t>
    </r>
    <r>
      <rPr>
        <sz val="7"/>
        <rFont val="Times New Roman"/>
        <family val="1"/>
      </rPr>
      <t>       </t>
    </r>
    <r>
      <rPr>
        <sz val="12"/>
        <rFont val="Times New Roman"/>
        <family val="1"/>
      </rPr>
      <t>dotacja dla Uczniowskiego Klubu Sportowego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</si>
  <si>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odzież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</si>
  <si>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zakup usług zdrowotnych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</si>
  <si>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zakup usług dostępu do sieci Internet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</si>
  <si>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opłaty czynszowe za pomieszczenia biurowe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</si>
  <si>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zakup akcesoriów komputerowych</t>
    </r>
  </si>
  <si>
    <t>Rządowy Program "Pomoc państwa w zakresie dożywiania"</t>
  </si>
  <si>
    <t>- zasiłki szkolne ( 2 świadczenia)</t>
  </si>
  <si>
    <t>-      przełączenie zasileń budynku przy Rynku w Kaźmierzu</t>
  </si>
  <si>
    <t>-      budowa oświetlenia ulicznego w Kaźmierzu ul.Nowowiejska</t>
  </si>
  <si>
    <t>-      budowa lini NN w m.Radzyny</t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</si>
  <si>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usługę transportową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</si>
  <si>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sieć gazowa Pólko</t>
    </r>
  </si>
  <si>
    <t>6.      Wybudowano drogę asfaltową przy Przedszkolu w Kaźmierzu, w rej.ul. Nowowiejskiej: droga o nawierzchni z betonu asfaltowego, o długości 190 mb i szerokości 3,5 m oraz 16 miejsc parkingowych z kostki brukowej. Konstrukcja drogi: podbudowa z kruszywa łamanego stabilizowanego mechanicznie o grubości 15 cm, warstwa ścieralna o grubości 5 cm.</t>
  </si>
  <si>
    <t>7.      Wybudowano drogę o nawierzchni z betonu asfaltowego z Gaju Wielkiego do Stramnicy. Droga o długości 1820 mb i szerokości 4 mb. Konstrukcja drogi: istniejąca nawierzchnia częściowo gruntowa, częściowo istniejące kruszywo, warstwa wyrównawcza: kruszywo łamane stabilizowane mechanicznie o grubości 12 cm, warstwa wiążąca: beton asfaltowy o grubości 4 cm, warstwa ścieralna: beton asfaltowy o grubości 4 cm. Umocniono pobocza kruszywem na 0,5 m szerokości i 10 cm grubości. Gmina uzyskała dofinansowanie na przebudowę w/w drogi z Funduszu Ochrony Gruntów Rolnych (Urząd Marszałkowski Województwa Wielkopolskiego) w wysokości 57 200,00 zł.</t>
  </si>
  <si>
    <t>9.      Wykonano ścinkę poboczy na drogach leżących na terenie Gminy Kaźmierz: ok. 16,7 km dróg Kaźmierz - Kiączyn, Kaźmierz - Dolne Pole - Brzezno, Kopanina, Komorowo.</t>
  </si>
  <si>
    <t>10. Wykonano ewidencję dróg na terenie Gminy Kaźmierz.</t>
  </si>
  <si>
    <t>11. Kontynuowane są prace związane z budową świetlicy w Kiączynie (stan surowy zamknięty, przyłącze energetyczne).</t>
  </si>
  <si>
    <t xml:space="preserve">13. Wykonano montaż nowej stolarki okiennej w Gminnym Ośrodku Zdrowia z PCV w kolorze białym – 64 szt. </t>
  </si>
  <si>
    <t>15. Wykonano remont pokrycia dachowego na świetlicy wiejskiej w Gaju Wielkim: pokrycie papą termozgrzewalną na powierzchni 310 m2.</t>
  </si>
  <si>
    <t>16. Wykonano dokumentację projektowo - kosztorysową na budowę Stacji Uzdatniania Wody w m. Gaj Wielki.</t>
  </si>
  <si>
    <t>17. Wykonano dokumentację projektowo – kosztorysową na remont pomnika ofiar II wojny światowej w Kaźmierzu.</t>
  </si>
  <si>
    <t>18. Wykonano dokumentację budowlano-wykonawczą projektu wejścia do Urzędu Gminy w Kaźmierzu i zagospodarowania terenu dookoła budynku.</t>
  </si>
  <si>
    <t>19. Zlecono opracowanie dokumentacji projektowej rozbudowy oczyszczalni ścieków w Kiączynie wraz z siecią kanalizacji sanitarnej (układ Kaźmierz - Kiączyn). Zgodnie u umową wykonano wstępną koncepcję w/w zadania.</t>
  </si>
  <si>
    <t>20. Zakupiono kocioł grzejny wodny na gaz o mocy 35 KW dwufunkcyjny Niedźwiedź z zasobnikiem ciepłej wody dla świetlicy wiejskiej w Radzynach.</t>
  </si>
  <si>
    <t>8.      Wykonano chodnik w Kaźmierzu przy ul. Dworcowej o długości 200 mb i szerokości 2,10 m, z płytek betonowych ryflowanych 35x35cm szarych i czerwonych oraz odcinkami z kostki brukowej grubości 8 cm.</t>
  </si>
  <si>
    <t xml:space="preserve">Plan wydatków majątkowych na 2007 r. </t>
  </si>
  <si>
    <t xml:space="preserve">Zakup sprzętu komputerowego </t>
  </si>
  <si>
    <t>Zakup mebli przedszkolnych</t>
  </si>
  <si>
    <t>Utwardzenie placu</t>
  </si>
  <si>
    <r>
      <t xml:space="preserve">Materiały na akcję "Sprzątanie Świata 2004" oraz na Dzień Ziemi </t>
    </r>
    <r>
      <rPr>
        <b/>
        <sz val="10"/>
        <rFont val="Times New Roman CE"/>
        <family val="1"/>
      </rPr>
      <t>4.600,00</t>
    </r>
    <r>
      <rPr>
        <sz val="10"/>
        <rFont val="Times New Roman CE"/>
        <family val="1"/>
      </rPr>
      <t xml:space="preserve">, realizacja Gminnego Programu Ochrony Środowiska </t>
    </r>
    <r>
      <rPr>
        <b/>
        <sz val="10"/>
        <rFont val="Times New Roman CE"/>
        <family val="1"/>
      </rPr>
      <t>17.500,00</t>
    </r>
    <r>
      <rPr>
        <sz val="10"/>
        <rFont val="Times New Roman CE"/>
        <family val="1"/>
      </rPr>
      <t xml:space="preserve">, przegląd ekologiczny i prace rekultywacyjne wysypiska </t>
    </r>
    <r>
      <rPr>
        <b/>
        <sz val="10"/>
        <rFont val="Times New Roman CE"/>
        <family val="1"/>
      </rPr>
      <t>10.100,00</t>
    </r>
    <r>
      <rPr>
        <sz val="10"/>
        <rFont val="Times New Roman CE"/>
        <family val="1"/>
      </rPr>
      <t xml:space="preserve">, pozostałe wydatki </t>
    </r>
    <r>
      <rPr>
        <b/>
        <sz val="10"/>
        <rFont val="Times New Roman CE"/>
        <family val="1"/>
      </rPr>
      <t>4.700,00</t>
    </r>
  </si>
  <si>
    <t>* Urząd Marszałkowski – rozliczenie opłat za gospodarcze korzystanie ze środowiska</t>
  </si>
  <si>
    <t xml:space="preserve">* pozostałe dochody </t>
  </si>
  <si>
    <t>Zaplanowane środki przeznaczono na:</t>
  </si>
  <si>
    <t>* edukację ekologiczną</t>
  </si>
  <si>
    <t>* prowizje bankowe</t>
  </si>
  <si>
    <t>Stan konta bankowego na 01.01.2007r.</t>
  </si>
  <si>
    <t>21. Zakupiono kocioł grzejny wodny na miał o mocy 58 KW z wentylatorem firmy SKID dla świetlicy wiejskiej w Bytyniu.</t>
  </si>
  <si>
    <r>
      <t xml:space="preserve">a)      W Kaźmierzu rej. ul. Konopnickiej i Dolnej: </t>
    </r>
    <r>
      <rPr>
        <b/>
        <sz val="14"/>
        <rFont val="Times New Roman"/>
        <family val="1"/>
      </rPr>
      <t>410</t>
    </r>
    <r>
      <rPr>
        <sz val="14"/>
        <rFont val="Times New Roman"/>
        <family val="1"/>
      </rPr>
      <t xml:space="preserve"> mb sieci z rur PCV Ø110,</t>
    </r>
  </si>
  <si>
    <r>
      <t xml:space="preserve">b)     w Kaźmierzu, rej. ul. Polnej: </t>
    </r>
    <r>
      <rPr>
        <b/>
        <sz val="14"/>
        <rFont val="Times New Roman"/>
        <family val="1"/>
      </rPr>
      <t>434</t>
    </r>
    <r>
      <rPr>
        <sz val="14"/>
        <rFont val="Times New Roman"/>
        <family val="1"/>
      </rPr>
      <t xml:space="preserve"> mb sieci z rur PCV Ø 110 oraz </t>
    </r>
    <r>
      <rPr>
        <b/>
        <sz val="14"/>
        <rFont val="Times New Roman"/>
        <family val="1"/>
      </rPr>
      <t>30</t>
    </r>
    <r>
      <rPr>
        <sz val="14"/>
        <rFont val="Times New Roman"/>
        <family val="1"/>
      </rPr>
      <t xml:space="preserve"> mb Ø 90,</t>
    </r>
  </si>
  <si>
    <r>
      <t xml:space="preserve">c)     w Kaźmierzu ul. Jabłoniowa: </t>
    </r>
    <r>
      <rPr>
        <b/>
        <sz val="14"/>
        <rFont val="Times New Roman"/>
        <family val="1"/>
      </rPr>
      <t>152</t>
    </r>
    <r>
      <rPr>
        <sz val="14"/>
        <rFont val="Times New Roman"/>
        <family val="1"/>
      </rPr>
      <t xml:space="preserve"> mb sieci z rur PCV Ø 110 oraz </t>
    </r>
    <r>
      <rPr>
        <b/>
        <sz val="14"/>
        <rFont val="Times New Roman"/>
        <family val="1"/>
      </rPr>
      <t>45</t>
    </r>
    <r>
      <rPr>
        <sz val="14"/>
        <rFont val="Times New Roman"/>
        <family val="1"/>
      </rPr>
      <t xml:space="preserve"> mb Ø 80,</t>
    </r>
  </si>
  <si>
    <r>
      <t xml:space="preserve">d)     w Kaźmierzu ul. Gołębia: </t>
    </r>
    <r>
      <rPr>
        <b/>
        <sz val="14"/>
        <rFont val="Times New Roman"/>
        <family val="1"/>
      </rPr>
      <t>132</t>
    </r>
    <r>
      <rPr>
        <sz val="14"/>
        <rFont val="Times New Roman"/>
        <family val="1"/>
      </rPr>
      <t xml:space="preserve"> mb sieci z rur PCV Ø 110,</t>
    </r>
  </si>
  <si>
    <r>
      <t xml:space="preserve">e)     w m. Kaźmierz, rej. ul. Nowowiejskiej i Żniwnej: </t>
    </r>
    <r>
      <rPr>
        <b/>
        <sz val="14"/>
        <rFont val="Times New Roman"/>
        <family val="1"/>
      </rPr>
      <t>820</t>
    </r>
    <r>
      <rPr>
        <sz val="14"/>
        <rFont val="Times New Roman"/>
        <family val="1"/>
      </rPr>
      <t xml:space="preserve"> mb sieci</t>
    </r>
  </si>
  <si>
    <r>
      <t xml:space="preserve">z rur PCV Ø 110 oraz </t>
    </r>
    <r>
      <rPr>
        <b/>
        <sz val="14"/>
        <rFont val="Times New Roman"/>
        <family val="1"/>
      </rPr>
      <t>342</t>
    </r>
    <r>
      <rPr>
        <sz val="14"/>
        <rFont val="Times New Roman"/>
        <family val="1"/>
      </rPr>
      <t xml:space="preserve"> mb z rur Ø 90,</t>
    </r>
  </si>
  <si>
    <r>
      <t xml:space="preserve">f)      w m. Radzyny, w rejonie ul. Krańcowej: </t>
    </r>
    <r>
      <rPr>
        <b/>
        <sz val="14"/>
        <rFont val="Times New Roman"/>
        <family val="1"/>
      </rPr>
      <t>110</t>
    </r>
    <r>
      <rPr>
        <sz val="14"/>
        <rFont val="Times New Roman"/>
        <family val="1"/>
      </rPr>
      <t xml:space="preserve"> mb sieci z rur PCV Ø 110,</t>
    </r>
  </si>
  <si>
    <r>
      <t xml:space="preserve">g)     w m. Radzyny, rej. ul. Leśnej: </t>
    </r>
    <r>
      <rPr>
        <b/>
        <sz val="14"/>
        <rFont val="Times New Roman"/>
        <family val="1"/>
      </rPr>
      <t>420</t>
    </r>
    <r>
      <rPr>
        <sz val="14"/>
        <rFont val="Times New Roman"/>
        <family val="1"/>
      </rPr>
      <t xml:space="preserve"> mb sieci z rur PCV Ø 110,</t>
    </r>
  </si>
  <si>
    <r>
      <t xml:space="preserve">h)     w m. Komorowo: </t>
    </r>
    <r>
      <rPr>
        <b/>
        <sz val="14"/>
        <rFont val="Times New Roman"/>
        <family val="1"/>
      </rPr>
      <t>57</t>
    </r>
    <r>
      <rPr>
        <sz val="14"/>
        <rFont val="Times New Roman"/>
        <family val="1"/>
      </rPr>
      <t xml:space="preserve"> mb sieci z rur PCV Ø 90,</t>
    </r>
  </si>
  <si>
    <r>
      <t xml:space="preserve">i)       na odcinku Dolne Pole – Brzezno o długości </t>
    </r>
    <r>
      <rPr>
        <b/>
        <sz val="14"/>
        <rFont val="Times New Roman"/>
        <family val="1"/>
      </rPr>
      <t>420</t>
    </r>
    <r>
      <rPr>
        <sz val="14"/>
        <rFont val="Times New Roman"/>
        <family val="1"/>
      </rPr>
      <t xml:space="preserve"> mb z rur PCV Ø 110.</t>
    </r>
  </si>
  <si>
    <r>
      <t xml:space="preserve">a)      w m. Piersko: </t>
    </r>
    <r>
      <rPr>
        <b/>
        <sz val="14"/>
        <rFont val="Times New Roman"/>
        <family val="1"/>
      </rPr>
      <t xml:space="preserve">896 </t>
    </r>
    <r>
      <rPr>
        <sz val="14"/>
        <rFont val="Times New Roman"/>
        <family val="1"/>
      </rPr>
      <t xml:space="preserve">mb z rur PCV Ø 250, </t>
    </r>
    <r>
      <rPr>
        <b/>
        <sz val="14"/>
        <rFont val="Times New Roman"/>
        <family val="1"/>
      </rPr>
      <t>145</t>
    </r>
    <r>
      <rPr>
        <sz val="14"/>
        <rFont val="Times New Roman"/>
        <family val="1"/>
      </rPr>
      <t xml:space="preserve"> mb Ø 200 oraz przyłącza Ø 160 o długości </t>
    </r>
    <r>
      <rPr>
        <b/>
        <sz val="14"/>
        <rFont val="Times New Roman"/>
        <family val="1"/>
      </rPr>
      <t>260</t>
    </r>
    <r>
      <rPr>
        <sz val="14"/>
        <rFont val="Times New Roman"/>
        <family val="1"/>
      </rPr>
      <t xml:space="preserve"> mb (26 szt), studzienki kanalizacyjne Ø 425 - 53 szt.</t>
    </r>
  </si>
  <si>
    <r>
      <t xml:space="preserve">b)     w Kaźmierzu, rej. ul. Konopnickiei i Dolnej: </t>
    </r>
    <r>
      <rPr>
        <b/>
        <sz val="14"/>
        <rFont val="Times New Roman"/>
        <family val="1"/>
      </rPr>
      <t>210</t>
    </r>
    <r>
      <rPr>
        <sz val="14"/>
        <rFont val="Times New Roman"/>
        <family val="1"/>
      </rPr>
      <t xml:space="preserve"> mb sieci o przekroju Ø 200, </t>
    </r>
    <r>
      <rPr>
        <b/>
        <sz val="14"/>
        <rFont val="Times New Roman"/>
        <family val="1"/>
      </rPr>
      <t>66</t>
    </r>
    <r>
      <rPr>
        <sz val="14"/>
        <rFont val="Times New Roman"/>
        <family val="1"/>
      </rPr>
      <t xml:space="preserve"> mb Ø 160, 9 studni zbiorczych,</t>
    </r>
  </si>
  <si>
    <r>
      <t xml:space="preserve">c)     w Kaźmierzu, rej. ul. Poznańskiej i Dolnej: </t>
    </r>
    <r>
      <rPr>
        <b/>
        <sz val="14"/>
        <rFont val="Times New Roman"/>
        <family val="1"/>
      </rPr>
      <t>66</t>
    </r>
    <r>
      <rPr>
        <sz val="14"/>
        <rFont val="Times New Roman"/>
        <family val="1"/>
      </rPr>
      <t xml:space="preserve"> mb sieci o przekroju Ø 200, 2 studnie zbiorcze.</t>
    </r>
  </si>
  <si>
    <r>
      <t>14. Wykonano remont pokrycia dachu na budynku Gminnego Ośrodka Zdrowia w Kaźmierzu: 435m</t>
    </r>
    <r>
      <rPr>
        <vertAlign val="superscript"/>
        <sz val="14"/>
        <rFont val="Times New Roman"/>
        <family val="1"/>
      </rPr>
      <t>2</t>
    </r>
    <r>
      <rPr>
        <sz val="14"/>
        <rFont val="Times New Roman"/>
        <family val="1"/>
      </rPr>
      <t xml:space="preserve"> dachu, pokrycie papą termozgrzewalną, wymiana rynien.</t>
    </r>
  </si>
  <si>
    <t>5.      Wykonano oświetlenie drogowe przy ul. Nowowiejskiej w Kaźmierzu. Wybudowano linię kablową, 13 słupów oświetleniowych wysokości 10m z wysięgnikami typu SW10 z oprawami SGS 102/150-źródło światła SON-T 150W  oraz 6 słupów o wysokości 6m z wysięgnikami SW6 oraz oprawami SGS 101/070 – źródło światła SON-T 70W</t>
  </si>
  <si>
    <t>Gaz (na potrzeby kuchni)</t>
  </si>
  <si>
    <t>Opłaty</t>
  </si>
  <si>
    <t>darowizna na "Przegląd Twórczości Seniorów"</t>
  </si>
  <si>
    <r>
      <t>3.</t>
    </r>
    <r>
      <rPr>
        <sz val="12"/>
        <rFont val="Times New Roman"/>
        <family val="1"/>
      </rPr>
      <t xml:space="preserve"> Dochody budżetu gminy w  I półroczu 2008 roku wykonano w wysokości </t>
    </r>
  </si>
  <si>
    <r>
      <t>8.923.550,83 zł</t>
    </r>
    <r>
      <rPr>
        <sz val="12"/>
        <rFont val="Times New Roman"/>
        <family val="1"/>
      </rPr>
      <t>, co stanowi 50,80% planu (Zał.nr 1)</t>
    </r>
  </si>
  <si>
    <r>
      <t>4.</t>
    </r>
    <r>
      <rPr>
        <sz val="12"/>
        <rFont val="Times New Roman"/>
        <family val="1"/>
      </rPr>
      <t xml:space="preserve"> Wydatki budżetu gminy w  I półroczu 2008 roku wykonano w wysokości </t>
    </r>
  </si>
  <si>
    <r>
      <t>8.307.753,36 zł,</t>
    </r>
    <r>
      <rPr>
        <sz val="12"/>
        <rFont val="Times New Roman"/>
        <family val="1"/>
      </rPr>
      <t xml:space="preserve"> co stanowi   41,68% planu (Zał.nr 2)</t>
    </r>
  </si>
  <si>
    <t xml:space="preserve">        8.915.227,26 zł</t>
  </si>
  <si>
    <t xml:space="preserve">               8.323,57 zł</t>
  </si>
  <si>
    <t xml:space="preserve">        7.687.815,30 zł </t>
  </si>
  <si>
    <t xml:space="preserve">             276.200,00 zł</t>
  </si>
  <si>
    <t xml:space="preserve">               87.247,82 zł</t>
  </si>
  <si>
    <t xml:space="preserve">               18.500,00 zł</t>
  </si>
  <si>
    <t xml:space="preserve">              94.531,34 zł</t>
  </si>
  <si>
    <t xml:space="preserve">* zakup pojemników i worków do segregacji odpadów </t>
  </si>
  <si>
    <t xml:space="preserve">* wiosenne sprzątanie sołectw </t>
  </si>
  <si>
    <t>* wykonanie map leśnictwa Kaźmierz i Bytyń dla potrzeb realizacji zadań z zakresu ochrony środowiska</t>
  </si>
  <si>
    <t>* wykonanie zasieku z zadaszeniem do gromadzenia odpadów przy toaletach w Kaźmierzu</t>
  </si>
  <si>
    <t xml:space="preserve">    Nr XVIII/101/07 (Dz.Urz.Woj.Wielkopolskiego Nr 36, poz.743 z dn.20.03.2008 r.) :</t>
  </si>
  <si>
    <r>
      <t>2.</t>
    </r>
    <r>
      <rPr>
        <sz val="12"/>
        <rFont val="Times New Roman"/>
        <family val="1"/>
      </rPr>
      <t xml:space="preserve"> W  I półroczu 2008 roku Rada Gminy podjęła trzy uchwały zmieniające plan dochodów, wydatków i przychodów budżetowych: </t>
    </r>
  </si>
  <si>
    <t>Ostatecznie plan budżetu na dzień 30.06.2008 r. po stronie</t>
  </si>
  <si>
    <r>
      <t>6.</t>
    </r>
    <r>
      <rPr>
        <sz val="12"/>
        <rFont val="Times New Roman"/>
        <family val="1"/>
      </rPr>
      <t xml:space="preserve"> Sprawozdanie z przebiegu wykonania budżetu w I półroczu 2008 roku jednostek, które utworzyły rachunki dochodów własnych przedstawia zał.nr 6</t>
    </r>
  </si>
  <si>
    <r>
      <t>8.</t>
    </r>
    <r>
      <rPr>
        <sz val="12"/>
        <rFont val="Times New Roman"/>
        <family val="1"/>
      </rPr>
      <t xml:space="preserve"> Zestawienie zobowiązań i należności na dzień 30.06.2008 r. przedstawia zał.nr 8</t>
    </r>
  </si>
  <si>
    <r>
      <t xml:space="preserve">9. </t>
    </r>
    <r>
      <rPr>
        <sz val="12"/>
        <rFont val="Times New Roman"/>
        <family val="1"/>
      </rPr>
      <t>Plan przychodów i kosztów Gminnej  Biblioteki  Publicznej  w  Kaźmierzu,  jego zmiany i wykonanie na dzień 30.06.2008 r. zał.nr 9</t>
    </r>
  </si>
  <si>
    <r>
      <t xml:space="preserve">10. </t>
    </r>
    <r>
      <rPr>
        <sz val="12"/>
        <rFont val="Times New Roman"/>
        <family val="1"/>
      </rPr>
      <t>Plan przychodów i kosztów  Gminnego  Ośrodka  Kultury  w  Kaźmierzu,  jego zmiany i wykonanie na dzień 30.06.2008 r. zał.nr 10</t>
    </r>
  </si>
  <si>
    <t>(Zał.nr 1)</t>
  </si>
  <si>
    <t>(Zał.nr 2)</t>
  </si>
  <si>
    <t>(Zał.nr 3)</t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</si>
  <si>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zakup samochodu policyjnego</t>
    </r>
  </si>
  <si>
    <t>- odsetki od pożyczki Umowa Nr 71/P/OW-ks/I/07 na inwestycję pn."Budowa sieci kanalizacji sanitarnej w Piersku"</t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</si>
  <si>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nagrody i wydatki osobowe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</si>
  <si>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wynagrodzenia osobowe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</si>
  <si>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dodatkowe wynagrodzenia roczne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</si>
  <si>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składki na ubezpieczenie społeczne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</si>
  <si>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składki na Fundusz Pracy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</si>
  <si>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wynagrodzenia bezosobowe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</si>
  <si>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 xml:space="preserve">materiały i wyposażenie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</si>
  <si>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zakup energii, wody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</si>
  <si>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zakup usług pozostałych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</si>
  <si>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zakup usług remontowych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</si>
  <si>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podróże służbowe krajowe</t>
    </r>
  </si>
  <si>
    <t>* na wykonanie "Projektu założen do planu zaopatrzenia w ciepło, enrgię elektryczną i paliwa gazowe". - 13.700,00</t>
  </si>
  <si>
    <t>* dofinansowanie oświaty z uwagi na zmniejszenie subwencji oświatowej - 96.221,00</t>
  </si>
  <si>
    <t>* budowę drogi dojazdowej do gruntów rolnych Kaźmierz-Kopanina - 300,00</t>
  </si>
  <si>
    <t>801  OŚWIATA I WYCHOWANIE</t>
  </si>
  <si>
    <t>Rozdział  801 Szkoły Podstawowe</t>
  </si>
  <si>
    <t>Szkoła Podstawowa w Kaźmierzu</t>
  </si>
  <si>
    <t>Większość wydatków w tym rozdziale stanowią płace i ich pochodne,</t>
  </si>
  <si>
    <t xml:space="preserve">dodatki specjalne (wiejski i mieszkaniowy), odpis na Fundusz Socjalny </t>
  </si>
  <si>
    <t>Pozostałe wydatki to :</t>
  </si>
  <si>
    <t>- pomoc materialna dla uczniów (wyprawki dla klas I)</t>
  </si>
  <si>
    <t>- zakup materiałów na bieżące potrzeby szkoły</t>
  </si>
  <si>
    <t>- zakup pomocy dydaktycznych i książek</t>
  </si>
  <si>
    <t>- zakup usług dostępu do sieci Internet</t>
  </si>
  <si>
    <t>- koszty energii elektrycznej , gazu i wody</t>
  </si>
  <si>
    <t xml:space="preserve">- usługi remontowe, naprawcze </t>
  </si>
  <si>
    <t>- podróże służbowe</t>
  </si>
  <si>
    <t>- różne opłaty i składki (ubezpieczenie budynków i komputerów)</t>
  </si>
  <si>
    <r>
      <t>Szkoła Podstawowa w Bytyniu</t>
    </r>
    <r>
      <rPr>
        <sz val="12"/>
        <color indexed="12"/>
        <rFont val="Times New Roman"/>
        <family val="1"/>
      </rPr>
      <t xml:space="preserve"> </t>
    </r>
  </si>
  <si>
    <t xml:space="preserve"> Większość  wydatków w tym rozdziale stanowią płace i ich pochodne,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</si>
</sst>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_ ;[Red]\-0.00\ "/>
    <numFmt numFmtId="169" formatCode="#,##0.00_ ;[Red]\-#,##0.00\ "/>
    <numFmt numFmtId="170" formatCode="0.0%"/>
    <numFmt numFmtId="171" formatCode="d/m/yyyy"/>
    <numFmt numFmtId="172" formatCode="[$-415]d\ mmmm\ yyyy"/>
  </numFmts>
  <fonts count="60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sz val="8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0"/>
      <name val="Times New Roman CE"/>
      <family val="1"/>
    </font>
    <font>
      <vertAlign val="superscript"/>
      <sz val="8"/>
      <name val="Times New Roman CE"/>
      <family val="0"/>
    </font>
    <font>
      <sz val="12"/>
      <name val="Times New Roman"/>
      <family val="1"/>
    </font>
    <font>
      <b/>
      <sz val="16"/>
      <name val="Times New Roman"/>
      <family val="1"/>
    </font>
    <font>
      <sz val="7"/>
      <name val="Times New Roman"/>
      <family val="1"/>
    </font>
    <font>
      <sz val="8"/>
      <name val="Arial"/>
      <family val="0"/>
    </font>
    <font>
      <sz val="11"/>
      <name val="Times New Roman"/>
      <family val="1"/>
    </font>
    <font>
      <b/>
      <sz val="8"/>
      <name val="Times New Roman"/>
      <family val="1"/>
    </font>
    <font>
      <b/>
      <sz val="10"/>
      <name val="Times New Roman CE"/>
      <family val="1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b/>
      <sz val="7"/>
      <name val="Times New Roman"/>
      <family val="1"/>
    </font>
    <font>
      <sz val="12"/>
      <name val="Times New Roman CE"/>
      <family val="0"/>
    </font>
    <font>
      <sz val="12"/>
      <color indexed="12"/>
      <name val="Times New Roman"/>
      <family val="1"/>
    </font>
    <font>
      <b/>
      <sz val="14"/>
      <color indexed="12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 CE"/>
      <family val="1"/>
    </font>
    <font>
      <sz val="10"/>
      <color indexed="12"/>
      <name val="Times New Roman CE"/>
      <family val="1"/>
    </font>
    <font>
      <b/>
      <sz val="12"/>
      <name val="Times New Roman CE"/>
      <family val="1"/>
    </font>
    <font>
      <b/>
      <sz val="12"/>
      <color indexed="10"/>
      <name val="Times New Roman CE"/>
      <family val="1"/>
    </font>
    <font>
      <sz val="16"/>
      <color indexed="48"/>
      <name val="Times New Roman CE"/>
      <family val="1"/>
    </font>
    <font>
      <b/>
      <sz val="11"/>
      <name val="Times New Roman CE"/>
      <family val="1"/>
    </font>
    <font>
      <b/>
      <sz val="10"/>
      <color indexed="10"/>
      <name val="Arial CE"/>
      <family val="2"/>
    </font>
    <font>
      <b/>
      <sz val="9"/>
      <name val="Times New Roman CE"/>
      <family val="1"/>
    </font>
    <font>
      <sz val="9"/>
      <name val="Times New Roman"/>
      <family val="1"/>
    </font>
    <font>
      <sz val="9"/>
      <name val="Times New Roman CE"/>
      <family val="0"/>
    </font>
    <font>
      <sz val="9"/>
      <name val="Arial"/>
      <family val="0"/>
    </font>
    <font>
      <b/>
      <sz val="9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b/>
      <sz val="11"/>
      <color indexed="12"/>
      <name val="Times New Roman"/>
      <family val="1"/>
    </font>
    <font>
      <b/>
      <sz val="9"/>
      <color indexed="12"/>
      <name val="Times New Roman"/>
      <family val="1"/>
    </font>
    <font>
      <vertAlign val="superscript"/>
      <sz val="14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2"/>
      <name val="Times New Roman CE"/>
      <family val="1"/>
    </font>
    <font>
      <sz val="10"/>
      <color indexed="48"/>
      <name val="Times New Roman CE"/>
      <family val="1"/>
    </font>
    <font>
      <b/>
      <sz val="10"/>
      <color indexed="48"/>
      <name val="Times New Roman"/>
      <family val="1"/>
    </font>
    <font>
      <b/>
      <sz val="10"/>
      <color indexed="48"/>
      <name val="Times New Roman CE"/>
      <family val="1"/>
    </font>
    <font>
      <sz val="11"/>
      <name val="Times New Roman CE"/>
      <family val="1"/>
    </font>
    <font>
      <b/>
      <sz val="12"/>
      <color indexed="12"/>
      <name val="Times New Roman CE"/>
      <family val="1"/>
    </font>
    <font>
      <b/>
      <sz val="10"/>
      <color indexed="10"/>
      <name val="Times New Roman CE"/>
      <family val="1"/>
    </font>
    <font>
      <b/>
      <u val="single"/>
      <sz val="10"/>
      <name val="Times New Roman"/>
      <family val="1"/>
    </font>
    <font>
      <b/>
      <sz val="9"/>
      <color indexed="8"/>
      <name val="Times New Roman"/>
      <family val="1"/>
    </font>
    <font>
      <vertAlign val="superscript"/>
      <sz val="9"/>
      <name val="Times New Roman"/>
      <family val="1"/>
    </font>
    <font>
      <sz val="9"/>
      <color indexed="12"/>
      <name val="Times New Roman"/>
      <family val="1"/>
    </font>
  </fonts>
  <fills count="1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4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 wrapText="1"/>
    </xf>
    <xf numFmtId="4" fontId="5" fillId="0" borderId="2" xfId="0" applyNumberFormat="1" applyFont="1" applyBorder="1" applyAlignment="1">
      <alignment horizontal="left" vertical="center" wrapText="1"/>
    </xf>
    <xf numFmtId="4" fontId="12" fillId="0" borderId="1" xfId="0" applyNumberFormat="1" applyFont="1" applyFill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4" fontId="5" fillId="0" borderId="0" xfId="0" applyNumberFormat="1" applyFont="1" applyAlignment="1">
      <alignment vertical="center" wrapText="1"/>
    </xf>
    <xf numFmtId="0" fontId="6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Alignment="1">
      <alignment horizontal="right" vertical="center"/>
    </xf>
    <xf numFmtId="0" fontId="18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4" fontId="1" fillId="3" borderId="1" xfId="0" applyNumberFormat="1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 quotePrefix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Border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11" fillId="0" borderId="1" xfId="0" applyNumberFormat="1" applyFont="1" applyFill="1" applyBorder="1" applyAlignment="1">
      <alignment horizontal="right" vertical="center" wrapText="1"/>
    </xf>
    <xf numFmtId="4" fontId="10" fillId="3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" fontId="11" fillId="0" borderId="1" xfId="0" applyNumberFormat="1" applyFont="1" applyBorder="1" applyAlignment="1">
      <alignment horizontal="right" vertical="center" wrapText="1"/>
    </xf>
    <xf numFmtId="0" fontId="1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0" fontId="14" fillId="0" borderId="0" xfId="0" applyFont="1" applyAlignment="1">
      <alignment vertical="center" wrapText="1"/>
    </xf>
    <xf numFmtId="4" fontId="21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2" fillId="4" borderId="0" xfId="0" applyFont="1" applyFill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4" fontId="6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 wrapText="1"/>
    </xf>
    <xf numFmtId="4" fontId="22" fillId="0" borderId="0" xfId="0" applyNumberFormat="1" applyFont="1" applyAlignment="1">
      <alignment vertical="center"/>
    </xf>
    <xf numFmtId="0" fontId="14" fillId="0" borderId="0" xfId="0" applyFont="1" applyAlignment="1">
      <alignment horizontal="left" vertical="center" wrapText="1" indent="2"/>
    </xf>
    <xf numFmtId="4" fontId="14" fillId="0" borderId="0" xfId="0" applyNumberFormat="1" applyFont="1" applyAlignment="1">
      <alignment horizontal="right" vertical="center"/>
    </xf>
    <xf numFmtId="0" fontId="14" fillId="0" borderId="0" xfId="0" applyFont="1" applyAlignment="1" quotePrefix="1">
      <alignment horizontal="left" vertical="center" wrapText="1" indent="2"/>
    </xf>
    <xf numFmtId="4" fontId="14" fillId="0" borderId="0" xfId="0" applyNumberFormat="1" applyFont="1" applyAlignment="1">
      <alignment vertical="center"/>
    </xf>
    <xf numFmtId="0" fontId="14" fillId="0" borderId="0" xfId="0" applyFont="1" applyAlignment="1" quotePrefix="1">
      <alignment horizontal="left" vertical="center" wrapText="1" indent="3"/>
    </xf>
    <xf numFmtId="0" fontId="14" fillId="0" borderId="0" xfId="0" applyFont="1" applyAlignment="1">
      <alignment vertical="center"/>
    </xf>
    <xf numFmtId="0" fontId="24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 indent="2"/>
    </xf>
    <xf numFmtId="0" fontId="6" fillId="0" borderId="0" xfId="0" applyFont="1" applyAlignment="1" quotePrefix="1">
      <alignment horizontal="left" vertical="center" wrapText="1" indent="2"/>
    </xf>
    <xf numFmtId="0" fontId="7" fillId="0" borderId="0" xfId="0" applyFont="1" applyAlignment="1">
      <alignment vertical="center" wrapText="1"/>
    </xf>
    <xf numFmtId="4" fontId="7" fillId="0" borderId="0" xfId="0" applyNumberFormat="1" applyFont="1" applyAlignment="1">
      <alignment vertical="center"/>
    </xf>
    <xf numFmtId="0" fontId="14" fillId="0" borderId="0" xfId="0" applyFont="1" applyAlignment="1">
      <alignment horizontal="justify" vertical="center" wrapText="1"/>
    </xf>
    <xf numFmtId="0" fontId="14" fillId="0" borderId="0" xfId="0" applyFont="1" applyAlignment="1">
      <alignment horizontal="left" vertical="center" wrapText="1" indent="3"/>
    </xf>
    <xf numFmtId="4" fontId="3" fillId="0" borderId="0" xfId="0" applyNumberFormat="1" applyFont="1" applyAlignment="1">
      <alignment vertical="center"/>
    </xf>
    <xf numFmtId="4" fontId="14" fillId="0" borderId="0" xfId="0" applyNumberFormat="1" applyFont="1" applyAlignment="1" quotePrefix="1">
      <alignment horizontal="left" vertical="center" wrapText="1" indent="2"/>
    </xf>
    <xf numFmtId="0" fontId="14" fillId="0" borderId="0" xfId="0" applyFont="1" applyAlignment="1" quotePrefix="1">
      <alignment vertical="center" wrapText="1"/>
    </xf>
    <xf numFmtId="0" fontId="14" fillId="0" borderId="0" xfId="0" applyFont="1" applyAlignment="1">
      <alignment horizontal="right" vertical="center" wrapText="1"/>
    </xf>
    <xf numFmtId="0" fontId="26" fillId="0" borderId="0" xfId="0" applyFont="1" applyAlignment="1">
      <alignment horizontal="center" vertical="center" wrapText="1"/>
    </xf>
    <xf numFmtId="4" fontId="14" fillId="0" borderId="0" xfId="0" applyNumberFormat="1" applyFont="1" applyAlignment="1">
      <alignment horizontal="left" vertical="center"/>
    </xf>
    <xf numFmtId="0" fontId="27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24" fillId="0" borderId="0" xfId="0" applyFont="1" applyAlignment="1">
      <alignment vertical="center" wrapText="1"/>
    </xf>
    <xf numFmtId="4" fontId="20" fillId="2" borderId="1" xfId="0" applyNumberFormat="1" applyFont="1" applyFill="1" applyBorder="1" applyAlignment="1">
      <alignment vertical="center" wrapText="1"/>
    </xf>
    <xf numFmtId="0" fontId="12" fillId="0" borderId="1" xfId="0" applyFont="1" applyBorder="1" applyAlignment="1" quotePrefix="1">
      <alignment horizontal="center" vertical="center" wrapText="1"/>
    </xf>
    <xf numFmtId="4" fontId="29" fillId="0" borderId="1" xfId="0" applyNumberFormat="1" applyFont="1" applyFill="1" applyBorder="1" applyAlignment="1">
      <alignment horizontal="right" vertical="center"/>
    </xf>
    <xf numFmtId="4" fontId="12" fillId="0" borderId="1" xfId="0" applyNumberFormat="1" applyFont="1" applyBorder="1" applyAlignment="1">
      <alignment vertical="center" wrapText="1"/>
    </xf>
    <xf numFmtId="0" fontId="20" fillId="0" borderId="1" xfId="0" applyFont="1" applyBorder="1" applyAlignment="1" quotePrefix="1">
      <alignment horizontal="center" vertical="center" wrapText="1"/>
    </xf>
    <xf numFmtId="0" fontId="12" fillId="0" borderId="0" xfId="0" applyFont="1" applyAlignment="1">
      <alignment vertical="center" wrapText="1"/>
    </xf>
    <xf numFmtId="4" fontId="20" fillId="0" borderId="1" xfId="0" applyNumberFormat="1" applyFont="1" applyFill="1" applyBorder="1" applyAlignment="1">
      <alignment vertical="center" wrapText="1"/>
    </xf>
    <xf numFmtId="4" fontId="12" fillId="0" borderId="1" xfId="0" applyNumberFormat="1" applyFont="1" applyBorder="1" applyAlignment="1">
      <alignment horizontal="right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4" fontId="12" fillId="0" borderId="1" xfId="0" applyNumberFormat="1" applyFont="1" applyFill="1" applyBorder="1" applyAlignment="1">
      <alignment horizontal="right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12" fillId="0" borderId="1" xfId="0" applyFont="1" applyFill="1" applyBorder="1" applyAlignment="1" quotePrefix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4" fontId="20" fillId="0" borderId="1" xfId="0" applyNumberFormat="1" applyFont="1" applyFill="1" applyBorder="1" applyAlignment="1">
      <alignment horizontal="right" vertical="center" wrapText="1"/>
    </xf>
    <xf numFmtId="4" fontId="20" fillId="2" borderId="1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vertical="center" wrapText="1"/>
    </xf>
    <xf numFmtId="49" fontId="14" fillId="0" borderId="0" xfId="0" applyNumberFormat="1" applyFont="1" applyAlignment="1">
      <alignment horizontal="left" vertical="center" wrapText="1" indent="2"/>
    </xf>
    <xf numFmtId="0" fontId="1" fillId="5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 quotePrefix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left" vertical="center" wrapText="1"/>
    </xf>
    <xf numFmtId="0" fontId="20" fillId="0" borderId="4" xfId="0" applyFont="1" applyBorder="1" applyAlignment="1">
      <alignment horizontal="center" vertical="center" wrapText="1"/>
    </xf>
    <xf numFmtId="4" fontId="1" fillId="6" borderId="1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right" vertical="center" wrapText="1"/>
    </xf>
    <xf numFmtId="0" fontId="20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33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top" wrapText="1"/>
    </xf>
    <xf numFmtId="0" fontId="12" fillId="5" borderId="5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/>
    </xf>
    <xf numFmtId="4" fontId="28" fillId="0" borderId="1" xfId="0" applyNumberFormat="1" applyFont="1" applyBorder="1" applyAlignment="1">
      <alignment vertical="center" wrapText="1"/>
    </xf>
    <xf numFmtId="0" fontId="20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vertical="center" wrapText="1"/>
    </xf>
    <xf numFmtId="4" fontId="12" fillId="5" borderId="1" xfId="0" applyNumberFormat="1" applyFont="1" applyFill="1" applyBorder="1" applyAlignment="1">
      <alignment vertical="center" wrapText="1"/>
    </xf>
    <xf numFmtId="4" fontId="28" fillId="5" borderId="1" xfId="0" applyNumberFormat="1" applyFont="1" applyFill="1" applyBorder="1" applyAlignment="1">
      <alignment vertical="center" wrapText="1"/>
    </xf>
    <xf numFmtId="4" fontId="5" fillId="5" borderId="1" xfId="0" applyNumberFormat="1" applyFont="1" applyFill="1" applyBorder="1" applyAlignment="1">
      <alignment vertical="center" wrapText="1"/>
    </xf>
    <xf numFmtId="4" fontId="12" fillId="0" borderId="2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/>
    </xf>
    <xf numFmtId="0" fontId="28" fillId="0" borderId="2" xfId="0" applyFont="1" applyBorder="1" applyAlignment="1">
      <alignment/>
    </xf>
    <xf numFmtId="0" fontId="12" fillId="0" borderId="2" xfId="0" applyFont="1" applyBorder="1" applyAlignment="1">
      <alignment vertical="center"/>
    </xf>
    <xf numFmtId="4" fontId="30" fillId="0" borderId="6" xfId="0" applyNumberFormat="1" applyFont="1" applyBorder="1" applyAlignment="1">
      <alignment horizontal="center"/>
    </xf>
    <xf numFmtId="4" fontId="31" fillId="0" borderId="6" xfId="0" applyNumberFormat="1" applyFont="1" applyBorder="1" applyAlignment="1">
      <alignment horizontal="center"/>
    </xf>
    <xf numFmtId="4" fontId="30" fillId="0" borderId="6" xfId="0" applyNumberFormat="1" applyFont="1" applyBorder="1" applyAlignment="1">
      <alignment horizontal="center" vertical="center"/>
    </xf>
    <xf numFmtId="4" fontId="31" fillId="0" borderId="6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/>
    </xf>
    <xf numFmtId="0" fontId="12" fillId="0" borderId="7" xfId="0" applyFont="1" applyBorder="1" applyAlignment="1">
      <alignment vertical="center"/>
    </xf>
    <xf numFmtId="0" fontId="28" fillId="0" borderId="7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34" fillId="0" borderId="0" xfId="0" applyFont="1" applyAlignment="1">
      <alignment/>
    </xf>
    <xf numFmtId="0" fontId="12" fillId="0" borderId="2" xfId="0" applyFont="1" applyBorder="1" applyAlignment="1">
      <alignment vertical="center" wrapText="1"/>
    </xf>
    <xf numFmtId="0" fontId="20" fillId="0" borderId="2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20" fillId="0" borderId="2" xfId="0" applyFont="1" applyBorder="1" applyAlignment="1" quotePrefix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2" fillId="0" borderId="8" xfId="0" applyFont="1" applyBorder="1" applyAlignment="1">
      <alignment vertical="center"/>
    </xf>
    <xf numFmtId="0" fontId="30" fillId="0" borderId="9" xfId="0" applyFont="1" applyBorder="1" applyAlignment="1">
      <alignment horizontal="center" vertical="center" wrapText="1"/>
    </xf>
    <xf numFmtId="4" fontId="24" fillId="0" borderId="0" xfId="0" applyNumberFormat="1" applyFont="1" applyAlignment="1">
      <alignment vertical="center" wrapText="1"/>
    </xf>
    <xf numFmtId="0" fontId="20" fillId="7" borderId="4" xfId="0" applyFont="1" applyFill="1" applyBorder="1" applyAlignment="1">
      <alignment horizontal="center"/>
    </xf>
    <xf numFmtId="0" fontId="12" fillId="7" borderId="4" xfId="0" applyFont="1" applyFill="1" applyBorder="1" applyAlignment="1">
      <alignment/>
    </xf>
    <xf numFmtId="0" fontId="12" fillId="0" borderId="0" xfId="0" applyFont="1" applyFill="1" applyAlignment="1">
      <alignment/>
    </xf>
    <xf numFmtId="0" fontId="20" fillId="2" borderId="1" xfId="0" applyFont="1" applyFill="1" applyBorder="1" applyAlignment="1">
      <alignment horizontal="center" vertical="top" wrapText="1"/>
    </xf>
    <xf numFmtId="0" fontId="20" fillId="2" borderId="1" xfId="0" applyFont="1" applyFill="1" applyBorder="1" applyAlignment="1">
      <alignment vertical="top" wrapText="1"/>
    </xf>
    <xf numFmtId="4" fontId="20" fillId="2" borderId="1" xfId="0" applyNumberFormat="1" applyFont="1" applyFill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20" fillId="0" borderId="1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vertical="top" wrapText="1"/>
    </xf>
    <xf numFmtId="4" fontId="12" fillId="0" borderId="1" xfId="0" applyNumberFormat="1" applyFont="1" applyFill="1" applyBorder="1" applyAlignment="1">
      <alignment horizontal="right" vertical="top" wrapText="1"/>
    </xf>
    <xf numFmtId="4" fontId="20" fillId="0" borderId="1" xfId="0" applyNumberFormat="1" applyFont="1" applyFill="1" applyBorder="1" applyAlignment="1">
      <alignment horizontal="center" vertical="top" wrapText="1"/>
    </xf>
    <xf numFmtId="0" fontId="12" fillId="0" borderId="0" xfId="0" applyFont="1" applyFill="1" applyAlignment="1">
      <alignment vertical="top" wrapText="1"/>
    </xf>
    <xf numFmtId="0" fontId="12" fillId="0" borderId="6" xfId="0" applyFont="1" applyBorder="1" applyAlignment="1" quotePrefix="1">
      <alignment horizontal="center" vertical="center" wrapText="1"/>
    </xf>
    <xf numFmtId="4" fontId="12" fillId="0" borderId="6" xfId="0" applyNumberFormat="1" applyFont="1" applyBorder="1" applyAlignment="1">
      <alignment vertical="center" wrapText="1"/>
    </xf>
    <xf numFmtId="0" fontId="36" fillId="5" borderId="1" xfId="0" applyFont="1" applyFill="1" applyBorder="1" applyAlignment="1">
      <alignment horizontal="left" vertical="center"/>
    </xf>
    <xf numFmtId="4" fontId="36" fillId="3" borderId="1" xfId="0" applyNumberFormat="1" applyFont="1" applyFill="1" applyBorder="1" applyAlignment="1">
      <alignment horizontal="left" vertical="center"/>
    </xf>
    <xf numFmtId="4" fontId="36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 quotePrefix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36" fillId="0" borderId="1" xfId="0" applyFont="1" applyBorder="1" applyAlignment="1">
      <alignment vertical="center" wrapText="1"/>
    </xf>
    <xf numFmtId="4" fontId="36" fillId="3" borderId="1" xfId="0" applyNumberFormat="1" applyFont="1" applyFill="1" applyBorder="1" applyAlignment="1">
      <alignment horizontal="left" vertical="center" wrapText="1"/>
    </xf>
    <xf numFmtId="4" fontId="36" fillId="0" borderId="1" xfId="0" applyNumberFormat="1" applyFont="1" applyFill="1" applyBorder="1" applyAlignment="1">
      <alignment horizontal="left" vertical="center" wrapText="1"/>
    </xf>
    <xf numFmtId="0" fontId="37" fillId="0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vertical="center" wrapText="1"/>
    </xf>
    <xf numFmtId="4" fontId="1" fillId="3" borderId="2" xfId="0" applyNumberFormat="1" applyFont="1" applyFill="1" applyBorder="1" applyAlignment="1">
      <alignment horizontal="center" vertical="center" wrapText="1"/>
    </xf>
    <xf numFmtId="4" fontId="36" fillId="3" borderId="2" xfId="0" applyNumberFormat="1" applyFont="1" applyFill="1" applyBorder="1" applyAlignment="1">
      <alignment horizontal="left" vertical="center" wrapText="1"/>
    </xf>
    <xf numFmtId="4" fontId="36" fillId="0" borderId="1" xfId="0" applyNumberFormat="1" applyFont="1" applyFill="1" applyBorder="1" applyAlignment="1">
      <alignment wrapText="1"/>
    </xf>
    <xf numFmtId="4" fontId="36" fillId="0" borderId="1" xfId="0" applyNumberFormat="1" applyFont="1" applyFill="1" applyBorder="1" applyAlignment="1">
      <alignment vertical="center" wrapText="1"/>
    </xf>
    <xf numFmtId="4" fontId="37" fillId="0" borderId="1" xfId="0" applyNumberFormat="1" applyFont="1" applyBorder="1" applyAlignment="1">
      <alignment horizontal="left" vertical="center" wrapText="1"/>
    </xf>
    <xf numFmtId="4" fontId="12" fillId="0" borderId="1" xfId="0" applyNumberFormat="1" applyFont="1" applyFill="1" applyBorder="1" applyAlignment="1">
      <alignment horizontal="left" vertical="center" wrapText="1"/>
    </xf>
    <xf numFmtId="4" fontId="36" fillId="6" borderId="1" xfId="0" applyNumberFormat="1" applyFont="1" applyFill="1" applyBorder="1" applyAlignment="1">
      <alignment horizontal="left" vertical="center" wrapText="1"/>
    </xf>
    <xf numFmtId="4" fontId="36" fillId="0" borderId="0" xfId="0" applyNumberFormat="1" applyFont="1" applyAlignment="1">
      <alignment horizontal="left" vertical="center" wrapText="1"/>
    </xf>
    <xf numFmtId="0" fontId="36" fillId="0" borderId="0" xfId="0" applyFont="1" applyAlignment="1">
      <alignment horizontal="left" vertical="center" wrapText="1"/>
    </xf>
    <xf numFmtId="0" fontId="36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20" fillId="7" borderId="4" xfId="0" applyFont="1" applyFill="1" applyBorder="1" applyAlignment="1">
      <alignment horizontal="left"/>
    </xf>
    <xf numFmtId="4" fontId="20" fillId="2" borderId="1" xfId="0" applyNumberFormat="1" applyFont="1" applyFill="1" applyBorder="1" applyAlignment="1">
      <alignment horizontal="left" vertical="top" wrapText="1"/>
    </xf>
    <xf numFmtId="0" fontId="12" fillId="0" borderId="1" xfId="0" applyFont="1" applyFill="1" applyBorder="1" applyAlignment="1" quotePrefix="1">
      <alignment horizontal="center" vertical="top" wrapText="1"/>
    </xf>
    <xf numFmtId="0" fontId="12" fillId="0" borderId="1" xfId="0" applyFont="1" applyFill="1" applyBorder="1" applyAlignment="1">
      <alignment vertical="top" wrapText="1"/>
    </xf>
    <xf numFmtId="0" fontId="0" fillId="0" borderId="0" xfId="0" applyAlignment="1">
      <alignment vertical="center"/>
    </xf>
    <xf numFmtId="4" fontId="12" fillId="0" borderId="2" xfId="0" applyNumberFormat="1" applyFont="1" applyBorder="1" applyAlignment="1">
      <alignment vertical="center" wrapText="1"/>
    </xf>
    <xf numFmtId="0" fontId="20" fillId="7" borderId="6" xfId="0" applyFont="1" applyFill="1" applyBorder="1" applyAlignment="1">
      <alignment horizontal="center"/>
    </xf>
    <xf numFmtId="0" fontId="20" fillId="7" borderId="6" xfId="0" applyFont="1" applyFill="1" applyBorder="1" applyAlignment="1">
      <alignment horizontal="left"/>
    </xf>
    <xf numFmtId="4" fontId="12" fillId="7" borderId="6" xfId="0" applyNumberFormat="1" applyFont="1" applyFill="1" applyBorder="1" applyAlignment="1">
      <alignment horizontal="left" vertical="center" wrapText="1"/>
    </xf>
    <xf numFmtId="4" fontId="20" fillId="2" borderId="6" xfId="0" applyNumberFormat="1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4" fontId="12" fillId="2" borderId="6" xfId="0" applyNumberFormat="1" applyFont="1" applyFill="1" applyBorder="1" applyAlignment="1">
      <alignment horizontal="left" vertical="center" wrapText="1"/>
    </xf>
    <xf numFmtId="4" fontId="20" fillId="2" borderId="7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38" fillId="0" borderId="0" xfId="0" applyFont="1" applyAlignment="1">
      <alignment/>
    </xf>
    <xf numFmtId="0" fontId="12" fillId="0" borderId="2" xfId="0" applyFont="1" applyFill="1" applyBorder="1" applyAlignment="1" quotePrefix="1">
      <alignment horizontal="center" vertical="top" wrapText="1"/>
    </xf>
    <xf numFmtId="0" fontId="12" fillId="0" borderId="2" xfId="0" applyFont="1" applyFill="1" applyBorder="1" applyAlignment="1">
      <alignment vertical="top" wrapText="1"/>
    </xf>
    <xf numFmtId="4" fontId="12" fillId="0" borderId="2" xfId="0" applyNumberFormat="1" applyFont="1" applyFill="1" applyBorder="1" applyAlignment="1">
      <alignment horizontal="right" vertical="top" wrapText="1"/>
    </xf>
    <xf numFmtId="4" fontId="12" fillId="0" borderId="6" xfId="0" applyNumberFormat="1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/>
    </xf>
    <xf numFmtId="2" fontId="12" fillId="0" borderId="10" xfId="0" applyNumberFormat="1" applyFont="1" applyFill="1" applyBorder="1" applyAlignment="1">
      <alignment horizontal="right"/>
    </xf>
    <xf numFmtId="4" fontId="12" fillId="0" borderId="10" xfId="0" applyNumberFormat="1" applyFont="1" applyBorder="1" applyAlignment="1">
      <alignment vertical="center" wrapText="1"/>
    </xf>
    <xf numFmtId="4" fontId="12" fillId="7" borderId="6" xfId="0" applyNumberFormat="1" applyFont="1" applyFill="1" applyBorder="1" applyAlignment="1">
      <alignment vertical="center" wrapText="1"/>
    </xf>
    <xf numFmtId="4" fontId="12" fillId="2" borderId="6" xfId="0" applyNumberFormat="1" applyFont="1" applyFill="1" applyBorder="1" applyAlignment="1">
      <alignment vertical="center" wrapText="1"/>
    </xf>
    <xf numFmtId="4" fontId="20" fillId="2" borderId="7" xfId="0" applyNumberFormat="1" applyFont="1" applyFill="1" applyBorder="1" applyAlignment="1">
      <alignment horizontal="center" vertical="top" wrapText="1"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4" fontId="20" fillId="2" borderId="1" xfId="0" applyNumberFormat="1" applyFont="1" applyFill="1" applyBorder="1" applyAlignment="1">
      <alignment vertical="center" wrapText="1"/>
    </xf>
    <xf numFmtId="4" fontId="20" fillId="2" borderId="1" xfId="0" applyNumberFormat="1" applyFont="1" applyFill="1" applyBorder="1" applyAlignment="1">
      <alignment horizontal="center" vertical="top" wrapText="1"/>
    </xf>
    <xf numFmtId="4" fontId="0" fillId="0" borderId="0" xfId="0" applyNumberFormat="1" applyAlignment="1">
      <alignment/>
    </xf>
    <xf numFmtId="44" fontId="14" fillId="0" borderId="0" xfId="0" applyNumberFormat="1" applyFont="1" applyAlignment="1">
      <alignment vertical="center"/>
    </xf>
    <xf numFmtId="44" fontId="14" fillId="0" borderId="0" xfId="0" applyNumberFormat="1" applyFont="1" applyAlignment="1">
      <alignment horizontal="left" vertical="center" wrapText="1"/>
    </xf>
    <xf numFmtId="0" fontId="14" fillId="0" borderId="0" xfId="0" applyFont="1" applyAlignment="1">
      <alignment horizontal="left" vertical="center" indent="3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right" vertical="center"/>
    </xf>
    <xf numFmtId="168" fontId="2" fillId="0" borderId="0" xfId="0" applyNumberFormat="1" applyFont="1" applyAlignment="1">
      <alignment vertical="center"/>
    </xf>
    <xf numFmtId="169" fontId="2" fillId="0" borderId="0" xfId="0" applyNumberFormat="1" applyFont="1" applyAlignment="1">
      <alignment vertical="center"/>
    </xf>
    <xf numFmtId="169" fontId="2" fillId="0" borderId="0" xfId="0" applyNumberFormat="1" applyFont="1" applyAlignment="1">
      <alignment horizontal="right" vertical="center"/>
    </xf>
    <xf numFmtId="170" fontId="2" fillId="0" borderId="0" xfId="0" applyNumberFormat="1" applyFont="1" applyAlignment="1">
      <alignment vertical="center"/>
    </xf>
    <xf numFmtId="168" fontId="1" fillId="0" borderId="0" xfId="0" applyNumberFormat="1" applyFont="1" applyAlignment="1">
      <alignment vertical="center"/>
    </xf>
    <xf numFmtId="169" fontId="2" fillId="0" borderId="0" xfId="0" applyNumberFormat="1" applyFont="1" applyAlignment="1">
      <alignment horizontal="justify" vertical="center"/>
    </xf>
    <xf numFmtId="0" fontId="39" fillId="0" borderId="1" xfId="0" applyFont="1" applyBorder="1" applyAlignment="1">
      <alignment horizontal="center" vertical="center" wrapText="1"/>
    </xf>
    <xf numFmtId="49" fontId="39" fillId="0" borderId="1" xfId="0" applyNumberFormat="1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vertical="center" wrapText="1"/>
    </xf>
    <xf numFmtId="0" fontId="39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4" fontId="1" fillId="4" borderId="1" xfId="0" applyNumberFormat="1" applyFont="1" applyFill="1" applyBorder="1" applyAlignment="1">
      <alignment vertical="center"/>
    </xf>
    <xf numFmtId="10" fontId="1" fillId="4" borderId="1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/>
    </xf>
    <xf numFmtId="10" fontId="1" fillId="0" borderId="1" xfId="0" applyNumberFormat="1" applyFont="1" applyFill="1" applyBorder="1" applyAlignment="1">
      <alignment vertical="center"/>
    </xf>
    <xf numFmtId="49" fontId="1" fillId="4" borderId="1" xfId="0" applyNumberFormat="1" applyFont="1" applyFill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49" fontId="1" fillId="4" borderId="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/>
    </xf>
    <xf numFmtId="4" fontId="1" fillId="0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/>
    </xf>
    <xf numFmtId="49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49" fontId="39" fillId="0" borderId="1" xfId="0" applyNumberFormat="1" applyFont="1" applyBorder="1" applyAlignment="1">
      <alignment horizontal="center" vertical="center"/>
    </xf>
    <xf numFmtId="4" fontId="39" fillId="0" borderId="1" xfId="0" applyNumberFormat="1" applyFont="1" applyBorder="1" applyAlignment="1">
      <alignment horizontal="center" vertical="center" wrapText="1"/>
    </xf>
    <xf numFmtId="10" fontId="39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/>
    </xf>
    <xf numFmtId="10" fontId="1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1" xfId="0" applyFont="1" applyBorder="1" applyAlignment="1" quotePrefix="1">
      <alignment vertical="center" wrapText="1"/>
    </xf>
    <xf numFmtId="4" fontId="2" fillId="0" borderId="11" xfId="0" applyNumberFormat="1" applyFont="1" applyBorder="1" applyAlignment="1">
      <alignment vertical="center"/>
    </xf>
    <xf numFmtId="4" fontId="2" fillId="0" borderId="5" xfId="0" applyNumberFormat="1" applyFont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170" fontId="1" fillId="0" borderId="0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4" borderId="12" xfId="0" applyFont="1" applyFill="1" applyBorder="1" applyAlignment="1">
      <alignment horizontal="left" vertical="center" wrapText="1"/>
    </xf>
    <xf numFmtId="4" fontId="1" fillId="4" borderId="12" xfId="0" applyNumberFormat="1" applyFont="1" applyFill="1" applyBorder="1" applyAlignment="1">
      <alignment vertical="center"/>
    </xf>
    <xf numFmtId="4" fontId="1" fillId="4" borderId="13" xfId="0" applyNumberFormat="1" applyFont="1" applyFill="1" applyBorder="1" applyAlignment="1">
      <alignment vertical="center"/>
    </xf>
    <xf numFmtId="4" fontId="1" fillId="4" borderId="14" xfId="0" applyNumberFormat="1" applyFont="1" applyFill="1" applyBorder="1" applyAlignment="1">
      <alignment vertical="center"/>
    </xf>
    <xf numFmtId="170" fontId="1" fillId="4" borderId="14" xfId="0" applyNumberFormat="1" applyFont="1" applyFill="1" applyBorder="1" applyAlignment="1">
      <alignment vertical="center"/>
    </xf>
    <xf numFmtId="170" fontId="1" fillId="4" borderId="12" xfId="0" applyNumberFormat="1" applyFont="1" applyFill="1" applyBorder="1" applyAlignment="1">
      <alignment vertical="center"/>
    </xf>
    <xf numFmtId="4" fontId="1" fillId="4" borderId="15" xfId="0" applyNumberFormat="1" applyFont="1" applyFill="1" applyBorder="1" applyAlignment="1">
      <alignment vertical="center"/>
    </xf>
    <xf numFmtId="0" fontId="1" fillId="4" borderId="11" xfId="0" applyFont="1" applyFill="1" applyBorder="1" applyAlignment="1">
      <alignment horizontal="left" vertical="center" wrapText="1"/>
    </xf>
    <xf numFmtId="4" fontId="1" fillId="4" borderId="11" xfId="0" applyNumberFormat="1" applyFont="1" applyFill="1" applyBorder="1" applyAlignment="1">
      <alignment vertical="center"/>
    </xf>
    <xf numFmtId="4" fontId="1" fillId="4" borderId="16" xfId="0" applyNumberFormat="1" applyFont="1" applyFill="1" applyBorder="1" applyAlignment="1">
      <alignment vertical="center"/>
    </xf>
    <xf numFmtId="0" fontId="2" fillId="0" borderId="11" xfId="0" applyFont="1" applyBorder="1" applyAlignment="1">
      <alignment horizontal="left" vertical="center" wrapText="1" indent="1"/>
    </xf>
    <xf numFmtId="4" fontId="2" fillId="0" borderId="17" xfId="0" applyNumberFormat="1" applyFont="1" applyBorder="1" applyAlignment="1">
      <alignment vertical="center"/>
    </xf>
    <xf numFmtId="170" fontId="2" fillId="0" borderId="11" xfId="0" applyNumberFormat="1" applyFont="1" applyBorder="1" applyAlignment="1">
      <alignment vertical="center"/>
    </xf>
    <xf numFmtId="4" fontId="2" fillId="0" borderId="18" xfId="0" applyNumberFormat="1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35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19" fillId="5" borderId="20" xfId="0" applyFont="1" applyFill="1" applyBorder="1" applyAlignment="1">
      <alignment horizontal="center" vertical="center"/>
    </xf>
    <xf numFmtId="0" fontId="1" fillId="5" borderId="21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 quotePrefix="1">
      <alignment horizontal="center" vertical="center"/>
    </xf>
    <xf numFmtId="4" fontId="10" fillId="3" borderId="1" xfId="0" applyNumberFormat="1" applyFont="1" applyFill="1" applyBorder="1" applyAlignment="1">
      <alignment horizontal="center" vertical="center"/>
    </xf>
    <xf numFmtId="4" fontId="1" fillId="3" borderId="22" xfId="0" applyNumberFormat="1" applyFont="1" applyFill="1" applyBorder="1" applyAlignment="1">
      <alignment vertical="center" wrapText="1"/>
    </xf>
    <xf numFmtId="4" fontId="1" fillId="0" borderId="22" xfId="0" applyNumberFormat="1" applyFont="1" applyBorder="1" applyAlignment="1">
      <alignment vertical="center" wrapText="1"/>
    </xf>
    <xf numFmtId="4" fontId="2" fillId="0" borderId="22" xfId="0" applyNumberFormat="1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4" fontId="1" fillId="0" borderId="22" xfId="0" applyNumberFormat="1" applyFont="1" applyBorder="1" applyAlignment="1">
      <alignment horizontal="center" vertical="center" wrapText="1"/>
    </xf>
    <xf numFmtId="4" fontId="1" fillId="0" borderId="22" xfId="0" applyNumberFormat="1" applyFont="1" applyFill="1" applyBorder="1" applyAlignment="1">
      <alignment vertical="center" wrapText="1"/>
    </xf>
    <xf numFmtId="4" fontId="1" fillId="3" borderId="22" xfId="0" applyNumberFormat="1" applyFont="1" applyFill="1" applyBorder="1" applyAlignment="1">
      <alignment horizontal="center" vertical="center" wrapText="1"/>
    </xf>
    <xf numFmtId="0" fontId="1" fillId="6" borderId="23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1" fillId="6" borderId="24" xfId="0" applyFont="1" applyFill="1" applyBorder="1" applyAlignment="1">
      <alignment horizontal="left" vertical="center" wrapText="1"/>
    </xf>
    <xf numFmtId="4" fontId="1" fillId="6" borderId="24" xfId="0" applyNumberFormat="1" applyFont="1" applyFill="1" applyBorder="1" applyAlignment="1">
      <alignment horizontal="center" vertical="center" wrapText="1"/>
    </xf>
    <xf numFmtId="4" fontId="10" fillId="6" borderId="24" xfId="0" applyNumberFormat="1" applyFont="1" applyFill="1" applyBorder="1" applyAlignment="1">
      <alignment horizontal="center" vertical="center" wrapText="1"/>
    </xf>
    <xf numFmtId="4" fontId="9" fillId="6" borderId="24" xfId="0" applyNumberFormat="1" applyFont="1" applyFill="1" applyBorder="1" applyAlignment="1">
      <alignment horizontal="center" vertical="center" wrapText="1"/>
    </xf>
    <xf numFmtId="4" fontId="1" fillId="6" borderId="25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 horizontal="right" vertical="center" wrapText="1"/>
    </xf>
    <xf numFmtId="4" fontId="18" fillId="0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44" fillId="0" borderId="0" xfId="0" applyNumberFormat="1" applyFont="1" applyAlignment="1">
      <alignment horizontal="center" vertical="center" wrapText="1"/>
    </xf>
    <xf numFmtId="49" fontId="14" fillId="0" borderId="0" xfId="0" applyNumberFormat="1" applyFont="1" applyAlignment="1" quotePrefix="1">
      <alignment horizontal="left" vertical="center" wrapText="1" indent="2"/>
    </xf>
    <xf numFmtId="4" fontId="14" fillId="0" borderId="0" xfId="0" applyNumberFormat="1" applyFont="1" applyFill="1" applyAlignment="1">
      <alignment vertical="center"/>
    </xf>
    <xf numFmtId="0" fontId="1" fillId="0" borderId="0" xfId="0" applyFont="1" applyAlignment="1">
      <alignment/>
    </xf>
    <xf numFmtId="49" fontId="2" fillId="0" borderId="0" xfId="0" applyNumberFormat="1" applyFont="1" applyAlignment="1">
      <alignment wrapText="1"/>
    </xf>
    <xf numFmtId="49" fontId="1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49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49" fontId="2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9" fontId="1" fillId="4" borderId="1" xfId="0" applyNumberFormat="1" applyFont="1" applyFill="1" applyBorder="1" applyAlignment="1">
      <alignment/>
    </xf>
    <xf numFmtId="4" fontId="1" fillId="4" borderId="1" xfId="0" applyNumberFormat="1" applyFont="1" applyFill="1" applyBorder="1" applyAlignment="1">
      <alignment/>
    </xf>
    <xf numFmtId="49" fontId="2" fillId="4" borderId="1" xfId="0" applyNumberFormat="1" applyFont="1" applyFill="1" applyBorder="1" applyAlignment="1">
      <alignment wrapText="1"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justify"/>
    </xf>
    <xf numFmtId="0" fontId="40" fillId="0" borderId="0" xfId="0" applyFont="1" applyAlignment="1">
      <alignment vertical="center" wrapText="1"/>
    </xf>
    <xf numFmtId="0" fontId="40" fillId="0" borderId="0" xfId="0" applyFont="1" applyAlignment="1">
      <alignment horizontal="left"/>
    </xf>
    <xf numFmtId="0" fontId="9" fillId="5" borderId="1" xfId="0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vertical="center" wrapText="1"/>
    </xf>
    <xf numFmtId="4" fontId="9" fillId="3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right" vertical="center" wrapText="1"/>
    </xf>
    <xf numFmtId="4" fontId="3" fillId="0" borderId="7" xfId="0" applyNumberFormat="1" applyFont="1" applyBorder="1" applyAlignment="1">
      <alignment horizontal="right" vertical="center" wrapText="1"/>
    </xf>
    <xf numFmtId="4" fontId="9" fillId="6" borderId="1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vertical="center" wrapText="1"/>
    </xf>
    <xf numFmtId="0" fontId="36" fillId="0" borderId="26" xfId="0" applyFont="1" applyBorder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vertical="center"/>
    </xf>
    <xf numFmtId="170" fontId="2" fillId="0" borderId="0" xfId="0" applyNumberFormat="1" applyFont="1" applyFill="1" applyAlignment="1">
      <alignment vertical="center"/>
    </xf>
    <xf numFmtId="44" fontId="6" fillId="0" borderId="0" xfId="0" applyNumberFormat="1" applyFont="1" applyAlignment="1">
      <alignment vertical="center"/>
    </xf>
    <xf numFmtId="0" fontId="43" fillId="0" borderId="1" xfId="0" applyFont="1" applyBorder="1" applyAlignment="1" quotePrefix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4" fontId="20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44" fontId="2" fillId="0" borderId="0" xfId="0" applyNumberFormat="1" applyFont="1" applyAlignment="1">
      <alignment horizontal="left" vertical="center"/>
    </xf>
    <xf numFmtId="0" fontId="14" fillId="0" borderId="0" xfId="0" applyFont="1" applyAlignment="1">
      <alignment/>
    </xf>
    <xf numFmtId="44" fontId="14" fillId="0" borderId="0" xfId="0" applyNumberFormat="1" applyFont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quotePrefix="1">
      <alignment horizontal="left" vertical="center" indent="2"/>
    </xf>
    <xf numFmtId="0" fontId="2" fillId="0" borderId="0" xfId="0" applyFont="1" applyAlignment="1" quotePrefix="1">
      <alignment horizontal="left" vertical="center"/>
    </xf>
    <xf numFmtId="44" fontId="21" fillId="0" borderId="0" xfId="0" applyNumberFormat="1" applyFont="1" applyAlignment="1">
      <alignment vertical="center"/>
    </xf>
    <xf numFmtId="44" fontId="21" fillId="0" borderId="0" xfId="0" applyNumberFormat="1" applyFont="1" applyAlignment="1">
      <alignment horizontal="center" vertical="center"/>
    </xf>
    <xf numFmtId="44" fontId="18" fillId="0" borderId="0" xfId="0" applyNumberFormat="1" applyFont="1" applyAlignment="1">
      <alignment horizontal="left" vertical="center"/>
    </xf>
    <xf numFmtId="44" fontId="21" fillId="0" borderId="0" xfId="0" applyNumberFormat="1" applyFont="1" applyAlignment="1">
      <alignment horizontal="left" vertical="center"/>
    </xf>
    <xf numFmtId="44" fontId="6" fillId="0" borderId="0" xfId="0" applyNumberFormat="1" applyFont="1" applyAlignment="1">
      <alignment horizontal="left" vertical="center"/>
    </xf>
    <xf numFmtId="8" fontId="6" fillId="0" borderId="0" xfId="0" applyNumberFormat="1" applyFont="1" applyAlignment="1">
      <alignment horizontal="right" vertical="center"/>
    </xf>
    <xf numFmtId="44" fontId="6" fillId="0" borderId="0" xfId="0" applyNumberFormat="1" applyFont="1" applyAlignment="1">
      <alignment horizontal="center" vertical="center"/>
    </xf>
    <xf numFmtId="0" fontId="48" fillId="0" borderId="0" xfId="0" applyFont="1" applyAlignment="1">
      <alignment horizontal="left" vertical="center" wrapText="1"/>
    </xf>
    <xf numFmtId="0" fontId="47" fillId="0" borderId="0" xfId="0" applyFont="1" applyAlignment="1">
      <alignment vertical="center"/>
    </xf>
    <xf numFmtId="0" fontId="47" fillId="0" borderId="0" xfId="0" applyFont="1" applyAlignment="1">
      <alignment/>
    </xf>
    <xf numFmtId="4" fontId="12" fillId="0" borderId="7" xfId="0" applyNumberFormat="1" applyFont="1" applyBorder="1" applyAlignment="1">
      <alignment horizontal="right" vertical="center" wrapText="1"/>
    </xf>
    <xf numFmtId="0" fontId="14" fillId="0" borderId="0" xfId="0" applyFont="1" applyAlignment="1" quotePrefix="1">
      <alignment horizontal="left" vertical="center" wrapText="1"/>
    </xf>
    <xf numFmtId="0" fontId="5" fillId="0" borderId="2" xfId="0" applyFont="1" applyBorder="1" applyAlignment="1">
      <alignment vertical="center" wrapText="1"/>
    </xf>
    <xf numFmtId="4" fontId="12" fillId="0" borderId="2" xfId="0" applyNumberFormat="1" applyFont="1" applyFill="1" applyBorder="1" applyAlignment="1">
      <alignment vertical="center" wrapText="1"/>
    </xf>
    <xf numFmtId="4" fontId="28" fillId="0" borderId="2" xfId="0" applyNumberFormat="1" applyFont="1" applyFill="1" applyBorder="1" applyAlignment="1">
      <alignment vertical="center" wrapText="1"/>
    </xf>
    <xf numFmtId="4" fontId="12" fillId="2" borderId="2" xfId="0" applyNumberFormat="1" applyFont="1" applyFill="1" applyBorder="1" applyAlignment="1">
      <alignment vertical="center" wrapText="1"/>
    </xf>
    <xf numFmtId="4" fontId="12" fillId="0" borderId="2" xfId="0" applyNumberFormat="1" applyFont="1" applyFill="1" applyBorder="1" applyAlignment="1">
      <alignment horizontal="right" vertical="center" wrapText="1"/>
    </xf>
    <xf numFmtId="0" fontId="20" fillId="5" borderId="1" xfId="0" applyFont="1" applyFill="1" applyBorder="1" applyAlignment="1" quotePrefix="1">
      <alignment horizontal="center" vertical="center" wrapText="1"/>
    </xf>
    <xf numFmtId="0" fontId="12" fillId="5" borderId="1" xfId="0" applyFont="1" applyFill="1" applyBorder="1" applyAlignment="1">
      <alignment horizontal="left" vertical="center" wrapText="1"/>
    </xf>
    <xf numFmtId="4" fontId="12" fillId="5" borderId="1" xfId="0" applyNumberFormat="1" applyFont="1" applyFill="1" applyBorder="1" applyAlignment="1">
      <alignment horizontal="center" vertical="center" wrapText="1"/>
    </xf>
    <xf numFmtId="4" fontId="5" fillId="5" borderId="1" xfId="0" applyNumberFormat="1" applyFont="1" applyFill="1" applyBorder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horizontal="right" vertical="center"/>
    </xf>
    <xf numFmtId="0" fontId="20" fillId="2" borderId="3" xfId="0" applyFont="1" applyFill="1" applyBorder="1" applyAlignment="1" quotePrefix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4" fontId="20" fillId="2" borderId="1" xfId="0" applyNumberFormat="1" applyFont="1" applyFill="1" applyBorder="1" applyAlignment="1">
      <alignment horizontal="center" vertical="center" wrapText="1"/>
    </xf>
    <xf numFmtId="4" fontId="49" fillId="0" borderId="1" xfId="0" applyNumberFormat="1" applyFont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vertical="center" wrapText="1"/>
    </xf>
    <xf numFmtId="4" fontId="12" fillId="0" borderId="0" xfId="0" applyNumberFormat="1" applyFont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" fontId="29" fillId="0" borderId="1" xfId="0" applyNumberFormat="1" applyFont="1" applyFill="1" applyBorder="1" applyAlignment="1">
      <alignment horizontal="right" vertical="center" wrapText="1"/>
    </xf>
    <xf numFmtId="4" fontId="20" fillId="0" borderId="1" xfId="0" applyNumberFormat="1" applyFont="1" applyBorder="1" applyAlignment="1">
      <alignment horizontal="right" vertical="center" wrapText="1"/>
    </xf>
    <xf numFmtId="0" fontId="12" fillId="0" borderId="0" xfId="0" applyFont="1" applyAlignment="1">
      <alignment horizontal="right" vertical="center" wrapText="1"/>
    </xf>
    <xf numFmtId="4" fontId="12" fillId="0" borderId="0" xfId="0" applyNumberFormat="1" applyFont="1" applyAlignment="1">
      <alignment horizontal="right" vertical="center" wrapText="1"/>
    </xf>
    <xf numFmtId="0" fontId="50" fillId="0" borderId="0" xfId="0" applyFont="1" applyAlignment="1">
      <alignment vertical="center" wrapText="1"/>
    </xf>
    <xf numFmtId="0" fontId="51" fillId="0" borderId="0" xfId="0" applyFont="1" applyAlignment="1">
      <alignment horizontal="right" vertical="center"/>
    </xf>
    <xf numFmtId="0" fontId="5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7" borderId="4" xfId="0" applyFont="1" applyFill="1" applyBorder="1" applyAlignment="1">
      <alignment horizontal="center" vertical="center"/>
    </xf>
    <xf numFmtId="0" fontId="20" fillId="7" borderId="4" xfId="0" applyFont="1" applyFill="1" applyBorder="1" applyAlignment="1">
      <alignment horizontal="right" vertical="center"/>
    </xf>
    <xf numFmtId="0" fontId="52" fillId="7" borderId="4" xfId="0" applyFont="1" applyFill="1" applyBorder="1" applyAlignment="1">
      <alignment horizontal="center" vertical="center"/>
    </xf>
    <xf numFmtId="4" fontId="20" fillId="2" borderId="6" xfId="0" applyNumberFormat="1" applyFont="1" applyFill="1" applyBorder="1" applyAlignment="1">
      <alignment horizontal="right" vertical="center"/>
    </xf>
    <xf numFmtId="0" fontId="52" fillId="2" borderId="6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right" vertical="center"/>
    </xf>
    <xf numFmtId="0" fontId="20" fillId="0" borderId="6" xfId="0" applyFont="1" applyFill="1" applyBorder="1" applyAlignment="1">
      <alignment horizontal="center" vertical="center"/>
    </xf>
    <xf numFmtId="4" fontId="20" fillId="0" borderId="1" xfId="0" applyNumberFormat="1" applyFont="1" applyFill="1" applyBorder="1" applyAlignment="1">
      <alignment horizontal="center" vertical="center"/>
    </xf>
    <xf numFmtId="0" fontId="52" fillId="0" borderId="1" xfId="0" applyFont="1" applyFill="1" applyBorder="1" applyAlignment="1">
      <alignment horizontal="center" vertical="center"/>
    </xf>
    <xf numFmtId="4" fontId="20" fillId="0" borderId="1" xfId="0" applyNumberFormat="1" applyFont="1" applyFill="1" applyBorder="1" applyAlignment="1">
      <alignment horizontal="right" vertical="center"/>
    </xf>
    <xf numFmtId="0" fontId="12" fillId="0" borderId="2" xfId="0" applyFont="1" applyBorder="1" applyAlignment="1">
      <alignment horizontal="center" vertical="center" wrapText="1"/>
    </xf>
    <xf numFmtId="4" fontId="52" fillId="2" borderId="1" xfId="0" applyNumberFormat="1" applyFont="1" applyFill="1" applyBorder="1" applyAlignment="1">
      <alignment horizontal="center" vertical="center" wrapText="1"/>
    </xf>
    <xf numFmtId="4" fontId="20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vertical="center" wrapText="1"/>
    </xf>
    <xf numFmtId="4" fontId="52" fillId="0" borderId="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vertical="center" wrapText="1"/>
    </xf>
    <xf numFmtId="4" fontId="29" fillId="0" borderId="1" xfId="0" applyNumberFormat="1" applyFont="1" applyBorder="1" applyAlignment="1">
      <alignment vertical="center" wrapText="1"/>
    </xf>
    <xf numFmtId="4" fontId="50" fillId="0" borderId="1" xfId="0" applyNumberFormat="1" applyFont="1" applyBorder="1" applyAlignment="1">
      <alignment vertical="center" wrapText="1"/>
    </xf>
    <xf numFmtId="4" fontId="12" fillId="0" borderId="2" xfId="0" applyNumberFormat="1" applyFont="1" applyBorder="1" applyAlignment="1">
      <alignment horizontal="center" vertical="center" wrapText="1"/>
    </xf>
    <xf numFmtId="4" fontId="20" fillId="2" borderId="7" xfId="0" applyNumberFormat="1" applyFont="1" applyFill="1" applyBorder="1" applyAlignment="1">
      <alignment horizontal="center" vertical="center" wrapText="1"/>
    </xf>
    <xf numFmtId="4" fontId="12" fillId="3" borderId="1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4" fontId="20" fillId="3" borderId="1" xfId="0" applyNumberFormat="1" applyFont="1" applyFill="1" applyBorder="1" applyAlignment="1">
      <alignment horizontal="center" vertical="center" wrapText="1"/>
    </xf>
    <xf numFmtId="4" fontId="50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4" fontId="52" fillId="0" borderId="1" xfId="0" applyNumberFormat="1" applyFont="1" applyFill="1" applyBorder="1" applyAlignment="1">
      <alignment horizontal="center" vertical="center" wrapText="1"/>
    </xf>
    <xf numFmtId="4" fontId="50" fillId="0" borderId="1" xfId="0" applyNumberFormat="1" applyFont="1" applyBorder="1" applyAlignment="1">
      <alignment horizontal="right" vertical="center" wrapText="1"/>
    </xf>
    <xf numFmtId="4" fontId="33" fillId="2" borderId="1" xfId="0" applyNumberFormat="1" applyFont="1" applyFill="1" applyBorder="1" applyAlignment="1">
      <alignment horizontal="center" vertical="center" wrapText="1"/>
    </xf>
    <xf numFmtId="4" fontId="33" fillId="3" borderId="1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vertical="center" wrapText="1"/>
    </xf>
    <xf numFmtId="4" fontId="50" fillId="0" borderId="0" xfId="0" applyNumberFormat="1" applyFont="1" applyAlignment="1">
      <alignment vertical="center" wrapText="1"/>
    </xf>
    <xf numFmtId="4" fontId="12" fillId="0" borderId="0" xfId="0" applyNumberFormat="1" applyFont="1" applyAlignment="1">
      <alignment vertical="center"/>
    </xf>
    <xf numFmtId="0" fontId="52" fillId="0" borderId="27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28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4" fontId="20" fillId="2" borderId="1" xfId="0" applyNumberFormat="1" applyFont="1" applyFill="1" applyBorder="1" applyAlignment="1">
      <alignment horizontal="right" vertical="center" wrapText="1"/>
    </xf>
    <xf numFmtId="4" fontId="33" fillId="2" borderId="18" xfId="0" applyNumberFormat="1" applyFont="1" applyFill="1" applyBorder="1" applyAlignment="1">
      <alignment horizontal="right" vertical="center" wrapText="1"/>
    </xf>
    <xf numFmtId="4" fontId="12" fillId="0" borderId="1" xfId="0" applyNumberFormat="1" applyFont="1" applyFill="1" applyBorder="1" applyAlignment="1">
      <alignment horizontal="right" vertical="center"/>
    </xf>
    <xf numFmtId="4" fontId="20" fillId="3" borderId="1" xfId="0" applyNumberFormat="1" applyFont="1" applyFill="1" applyBorder="1" applyAlignment="1">
      <alignment horizontal="right" vertical="center"/>
    </xf>
    <xf numFmtId="4" fontId="12" fillId="0" borderId="1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" fillId="0" borderId="30" xfId="0" applyFont="1" applyBorder="1" applyAlignment="1">
      <alignment horizontal="center" vertical="center" wrapText="1"/>
    </xf>
    <xf numFmtId="4" fontId="1" fillId="0" borderId="30" xfId="0" applyNumberFormat="1" applyFont="1" applyBorder="1" applyAlignment="1">
      <alignment horizontal="center" vertical="center" textRotation="255" wrapText="1"/>
    </xf>
    <xf numFmtId="0" fontId="45" fillId="0" borderId="1" xfId="0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left" vertical="center" wrapText="1"/>
    </xf>
    <xf numFmtId="4" fontId="20" fillId="0" borderId="7" xfId="0" applyNumberFormat="1" applyFont="1" applyBorder="1" applyAlignment="1">
      <alignment horizontal="center" vertical="center" wrapText="1"/>
    </xf>
    <xf numFmtId="4" fontId="29" fillId="0" borderId="1" xfId="0" applyNumberFormat="1" applyFont="1" applyBorder="1" applyAlignment="1">
      <alignment horizontal="center" vertical="center" wrapText="1"/>
    </xf>
    <xf numFmtId="4" fontId="50" fillId="0" borderId="1" xfId="0" applyNumberFormat="1" applyFont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0" fontId="36" fillId="0" borderId="1" xfId="0" applyFont="1" applyFill="1" applyBorder="1" applyAlignment="1">
      <alignment vertical="center" wrapText="1"/>
    </xf>
    <xf numFmtId="0" fontId="36" fillId="0" borderId="1" xfId="0" applyFont="1" applyBorder="1" applyAlignment="1">
      <alignment horizontal="left" vertical="center" wrapText="1"/>
    </xf>
    <xf numFmtId="4" fontId="36" fillId="0" borderId="6" xfId="0" applyNumberFormat="1" applyFont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29" fillId="0" borderId="0" xfId="0" applyFont="1" applyAlignment="1">
      <alignment horizontal="right" vertical="center"/>
    </xf>
    <xf numFmtId="0" fontId="54" fillId="0" borderId="4" xfId="0" applyFont="1" applyBorder="1" applyAlignment="1">
      <alignment vertical="center" wrapText="1"/>
    </xf>
    <xf numFmtId="0" fontId="24" fillId="0" borderId="26" xfId="0" applyFont="1" applyBorder="1" applyAlignment="1">
      <alignment vertical="center" wrapText="1"/>
    </xf>
    <xf numFmtId="0" fontId="30" fillId="6" borderId="6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54" fillId="6" borderId="9" xfId="0" applyFont="1" applyFill="1" applyBorder="1" applyAlignment="1">
      <alignment horizontal="center" vertical="center" wrapText="1"/>
    </xf>
    <xf numFmtId="0" fontId="20" fillId="6" borderId="6" xfId="0" applyFont="1" applyFill="1" applyBorder="1" applyAlignment="1">
      <alignment horizontal="center" vertical="center" wrapText="1"/>
    </xf>
    <xf numFmtId="0" fontId="24" fillId="6" borderId="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4" fontId="20" fillId="2" borderId="1" xfId="0" applyNumberFormat="1" applyFont="1" applyFill="1" applyBorder="1" applyAlignment="1">
      <alignment horizontal="center" vertical="center"/>
    </xf>
    <xf numFmtId="4" fontId="49" fillId="2" borderId="1" xfId="0" applyNumberFormat="1" applyFont="1" applyFill="1" applyBorder="1" applyAlignment="1">
      <alignment horizontal="center" vertical="center"/>
    </xf>
    <xf numFmtId="4" fontId="55" fillId="2" borderId="1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 wrapText="1"/>
    </xf>
    <xf numFmtId="4" fontId="20" fillId="0" borderId="1" xfId="0" applyNumberFormat="1" applyFont="1" applyFill="1" applyBorder="1" applyAlignment="1">
      <alignment horizontal="center" vertical="center"/>
    </xf>
    <xf numFmtId="4" fontId="49" fillId="0" borderId="1" xfId="0" applyNumberFormat="1" applyFont="1" applyFill="1" applyBorder="1" applyAlignment="1">
      <alignment horizontal="center" vertical="center"/>
    </xf>
    <xf numFmtId="4" fontId="20" fillId="4" borderId="1" xfId="0" applyNumberFormat="1" applyFont="1" applyFill="1" applyBorder="1" applyAlignment="1">
      <alignment horizontal="center" vertical="center" wrapText="1"/>
    </xf>
    <xf numFmtId="4" fontId="55" fillId="0" borderId="1" xfId="0" applyNumberFormat="1" applyFont="1" applyFill="1" applyBorder="1" applyAlignment="1">
      <alignment horizontal="center" vertical="center"/>
    </xf>
    <xf numFmtId="4" fontId="20" fillId="0" borderId="7" xfId="0" applyNumberFormat="1" applyFont="1" applyFill="1" applyBorder="1" applyAlignment="1">
      <alignment vertical="center" wrapText="1"/>
    </xf>
    <xf numFmtId="4" fontId="12" fillId="0" borderId="1" xfId="0" applyNumberFormat="1" applyFont="1" applyFill="1" applyBorder="1" applyAlignment="1">
      <alignment horizontal="right" vertical="center"/>
    </xf>
    <xf numFmtId="4" fontId="12" fillId="4" borderId="1" xfId="0" applyNumberFormat="1" applyFont="1" applyFill="1" applyBorder="1" applyAlignment="1">
      <alignment vertical="center" wrapText="1"/>
    </xf>
    <xf numFmtId="4" fontId="28" fillId="0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4" fontId="49" fillId="2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vertical="center" wrapText="1"/>
    </xf>
    <xf numFmtId="4" fontId="20" fillId="4" borderId="1" xfId="0" applyNumberFormat="1" applyFont="1" applyFill="1" applyBorder="1" applyAlignment="1">
      <alignment horizontal="center" vertical="center" wrapText="1"/>
    </xf>
    <xf numFmtId="4" fontId="29" fillId="0" borderId="1" xfId="0" applyNumberFormat="1" applyFont="1" applyBorder="1" applyAlignment="1">
      <alignment horizontal="right" vertical="center" wrapText="1"/>
    </xf>
    <xf numFmtId="4" fontId="49" fillId="0" borderId="1" xfId="0" applyNumberFormat="1" applyFont="1" applyFill="1" applyBorder="1" applyAlignment="1">
      <alignment horizontal="center" vertical="center" wrapText="1"/>
    </xf>
    <xf numFmtId="4" fontId="55" fillId="2" borderId="1" xfId="0" applyNumberFormat="1" applyFont="1" applyFill="1" applyBorder="1" applyAlignment="1">
      <alignment horizontal="center" vertical="center" wrapText="1"/>
    </xf>
    <xf numFmtId="4" fontId="55" fillId="0" borderId="1" xfId="0" applyNumberFormat="1" applyFont="1" applyFill="1" applyBorder="1" applyAlignment="1">
      <alignment horizontal="center" vertical="center" wrapText="1"/>
    </xf>
    <xf numFmtId="4" fontId="28" fillId="0" borderId="1" xfId="0" applyNumberFormat="1" applyFont="1" applyFill="1" applyBorder="1" applyAlignment="1">
      <alignment horizontal="right" vertical="center" wrapText="1"/>
    </xf>
    <xf numFmtId="4" fontId="28" fillId="0" borderId="1" xfId="0" applyNumberFormat="1" applyFont="1" applyBorder="1" applyAlignment="1">
      <alignment horizontal="right" vertical="center" wrapText="1"/>
    </xf>
    <xf numFmtId="4" fontId="28" fillId="0" borderId="1" xfId="0" applyNumberFormat="1" applyFont="1" applyFill="1" applyBorder="1" applyAlignment="1">
      <alignment vertical="center" wrapText="1"/>
    </xf>
    <xf numFmtId="4" fontId="55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0" fillId="0" borderId="1" xfId="0" applyFont="1" applyFill="1" applyBorder="1" applyAlignment="1">
      <alignment vertical="center" wrapText="1"/>
    </xf>
    <xf numFmtId="4" fontId="49" fillId="0" borderId="1" xfId="0" applyNumberFormat="1" applyFont="1" applyBorder="1" applyAlignment="1">
      <alignment horizontal="right" vertical="center" wrapText="1"/>
    </xf>
    <xf numFmtId="4" fontId="29" fillId="0" borderId="1" xfId="0" applyNumberFormat="1" applyFont="1" applyBorder="1" applyAlignment="1">
      <alignment horizontal="right" vertical="center" wrapText="1"/>
    </xf>
    <xf numFmtId="4" fontId="12" fillId="0" borderId="1" xfId="0" applyNumberFormat="1" applyFont="1" applyBorder="1" applyAlignment="1">
      <alignment horizontal="right" vertical="center" wrapText="1"/>
    </xf>
    <xf numFmtId="0" fontId="1" fillId="2" borderId="3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vertical="center" wrapText="1"/>
    </xf>
    <xf numFmtId="4" fontId="12" fillId="2" borderId="1" xfId="0" applyNumberFormat="1" applyFont="1" applyFill="1" applyBorder="1" applyAlignment="1">
      <alignment horizontal="right" vertical="center" wrapText="1"/>
    </xf>
    <xf numFmtId="4" fontId="29" fillId="2" borderId="1" xfId="0" applyNumberFormat="1" applyFont="1" applyFill="1" applyBorder="1" applyAlignment="1">
      <alignment horizontal="right" vertical="center" wrapText="1"/>
    </xf>
    <xf numFmtId="4" fontId="49" fillId="2" borderId="1" xfId="0" applyNumberFormat="1" applyFont="1" applyFill="1" applyBorder="1" applyAlignment="1">
      <alignment horizontal="center" vertical="center" wrapText="1"/>
    </xf>
    <xf numFmtId="4" fontId="49" fillId="0" borderId="1" xfId="0" applyNumberFormat="1" applyFont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4" fontId="30" fillId="2" borderId="1" xfId="0" applyNumberFormat="1" applyFont="1" applyFill="1" applyBorder="1" applyAlignment="1">
      <alignment horizontal="center" vertical="center" wrapText="1"/>
    </xf>
    <xf numFmtId="4" fontId="54" fillId="2" borderId="1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right" vertical="center" wrapText="1"/>
    </xf>
    <xf numFmtId="4" fontId="29" fillId="0" borderId="0" xfId="0" applyNumberFormat="1" applyFont="1" applyAlignment="1">
      <alignment horizontal="right" vertical="center" wrapText="1"/>
    </xf>
    <xf numFmtId="4" fontId="12" fillId="0" borderId="0" xfId="0" applyNumberFormat="1" applyFont="1" applyAlignment="1">
      <alignment horizontal="right" vertical="center"/>
    </xf>
    <xf numFmtId="4" fontId="29" fillId="0" borderId="0" xfId="0" applyNumberFormat="1" applyFont="1" applyAlignment="1">
      <alignment horizontal="right" vertical="center"/>
    </xf>
    <xf numFmtId="4" fontId="12" fillId="0" borderId="0" xfId="0" applyNumberFormat="1" applyFont="1" applyFill="1" applyAlignment="1">
      <alignment vertical="center"/>
    </xf>
    <xf numFmtId="0" fontId="12" fillId="4" borderId="0" xfId="0" applyFont="1" applyFill="1" applyAlignment="1">
      <alignment vertical="center"/>
    </xf>
    <xf numFmtId="4" fontId="5" fillId="0" borderId="1" xfId="0" applyNumberFormat="1" applyFont="1" applyFill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48" fillId="0" borderId="4" xfId="0" applyFont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/>
    </xf>
    <xf numFmtId="4" fontId="2" fillId="0" borderId="17" xfId="0" applyNumberFormat="1" applyFont="1" applyBorder="1" applyAlignment="1">
      <alignment vertical="center" wrapText="1"/>
    </xf>
    <xf numFmtId="4" fontId="2" fillId="0" borderId="5" xfId="0" applyNumberFormat="1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1" fillId="0" borderId="3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right" vertical="center" wrapText="1"/>
    </xf>
    <xf numFmtId="4" fontId="2" fillId="0" borderId="6" xfId="0" applyNumberFormat="1" applyFont="1" applyBorder="1" applyAlignment="1">
      <alignment horizontal="right" vertical="center" wrapText="1"/>
    </xf>
    <xf numFmtId="4" fontId="3" fillId="0" borderId="6" xfId="0" applyNumberFormat="1" applyFont="1" applyBorder="1" applyAlignment="1">
      <alignment horizontal="right" vertical="center" wrapText="1"/>
    </xf>
    <xf numFmtId="4" fontId="1" fillId="6" borderId="10" xfId="0" applyNumberFormat="1" applyFont="1" applyFill="1" applyBorder="1" applyAlignment="1">
      <alignment horizontal="center" vertical="center" wrapText="1"/>
    </xf>
    <xf numFmtId="4" fontId="9" fillId="6" borderId="1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vertical="center" wrapText="1"/>
    </xf>
    <xf numFmtId="4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8" borderId="32" xfId="0" applyFont="1" applyFill="1" applyBorder="1" applyAlignment="1">
      <alignment vertical="center" wrapText="1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1" fillId="9" borderId="32" xfId="0" applyFont="1" applyFill="1" applyBorder="1" applyAlignment="1">
      <alignment vertical="center"/>
    </xf>
    <xf numFmtId="0" fontId="1" fillId="9" borderId="20" xfId="0" applyFont="1" applyFill="1" applyBorder="1" applyAlignment="1">
      <alignment vertical="center"/>
    </xf>
    <xf numFmtId="170" fontId="1" fillId="2" borderId="1" xfId="0" applyNumberFormat="1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 indent="1"/>
    </xf>
    <xf numFmtId="170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 wrapText="1" indent="1"/>
    </xf>
    <xf numFmtId="170" fontId="2" fillId="2" borderId="1" xfId="0" applyNumberFormat="1" applyFont="1" applyFill="1" applyBorder="1" applyAlignment="1">
      <alignment vertical="center"/>
    </xf>
    <xf numFmtId="0" fontId="2" fillId="0" borderId="22" xfId="0" applyFont="1" applyBorder="1" applyAlignment="1">
      <alignment vertical="center" wrapText="1"/>
    </xf>
    <xf numFmtId="0" fontId="2" fillId="0" borderId="1" xfId="0" applyFont="1" applyBorder="1" applyAlignment="1" quotePrefix="1">
      <alignment vertical="center"/>
    </xf>
    <xf numFmtId="0" fontId="2" fillId="0" borderId="22" xfId="0" applyFont="1" applyBorder="1" applyAlignment="1" quotePrefix="1">
      <alignment vertical="center" wrapText="1"/>
    </xf>
    <xf numFmtId="0" fontId="2" fillId="0" borderId="33" xfId="0" applyFont="1" applyBorder="1" applyAlignment="1">
      <alignment vertical="center" wrapText="1"/>
    </xf>
    <xf numFmtId="4" fontId="1" fillId="0" borderId="30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4" fontId="1" fillId="4" borderId="34" xfId="0" applyNumberFormat="1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35" xfId="0" applyFont="1" applyBorder="1" applyAlignment="1">
      <alignment horizontal="left" vertical="center" wrapText="1" indent="1"/>
    </xf>
    <xf numFmtId="4" fontId="2" fillId="0" borderId="36" xfId="0" applyNumberFormat="1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6" xfId="0" applyFont="1" applyBorder="1" applyAlignment="1">
      <alignment vertical="center" wrapText="1"/>
    </xf>
    <xf numFmtId="0" fontId="56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 indent="1"/>
    </xf>
    <xf numFmtId="4" fontId="2" fillId="0" borderId="0" xfId="0" applyNumberFormat="1" applyFont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1"/>
    </xf>
    <xf numFmtId="0" fontId="2" fillId="0" borderId="37" xfId="0" applyFont="1" applyBorder="1" applyAlignment="1">
      <alignment horizontal="left" vertical="center" wrapText="1" indent="1"/>
    </xf>
    <xf numFmtId="4" fontId="2" fillId="0" borderId="37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 wrapText="1" indent="1"/>
    </xf>
    <xf numFmtId="0" fontId="2" fillId="0" borderId="38" xfId="0" applyFont="1" applyBorder="1" applyAlignment="1">
      <alignment vertical="center" wrapText="1"/>
    </xf>
    <xf numFmtId="0" fontId="2" fillId="0" borderId="0" xfId="0" applyFont="1" applyAlignment="1" quotePrefix="1">
      <alignment horizontal="left" vertical="center" wrapText="1"/>
    </xf>
    <xf numFmtId="4" fontId="1" fillId="0" borderId="18" xfId="0" applyNumberFormat="1" applyFont="1" applyFill="1" applyBorder="1" applyAlignment="1">
      <alignment horizontal="center" vertical="center" wrapText="1"/>
    </xf>
    <xf numFmtId="171" fontId="1" fillId="0" borderId="0" xfId="0" applyNumberFormat="1" applyFont="1" applyAlignment="1">
      <alignment horizontal="center" vertical="center" wrapText="1"/>
    </xf>
    <xf numFmtId="0" fontId="1" fillId="10" borderId="1" xfId="0" applyFont="1" applyFill="1" applyBorder="1" applyAlignment="1">
      <alignment horizontal="left" vertical="center" wrapText="1"/>
    </xf>
    <xf numFmtId="4" fontId="1" fillId="10" borderId="1" xfId="0" applyNumberFormat="1" applyFont="1" applyFill="1" applyBorder="1" applyAlignment="1">
      <alignment vertical="center"/>
    </xf>
    <xf numFmtId="170" fontId="1" fillId="10" borderId="1" xfId="19" applyNumberFormat="1" applyFont="1" applyFill="1" applyBorder="1" applyAlignment="1">
      <alignment vertical="center"/>
    </xf>
    <xf numFmtId="4" fontId="1" fillId="0" borderId="39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4" fontId="1" fillId="0" borderId="40" xfId="0" applyNumberFormat="1" applyFont="1" applyFill="1" applyBorder="1" applyAlignment="1">
      <alignment horizontal="center" vertical="center" wrapText="1"/>
    </xf>
    <xf numFmtId="0" fontId="1" fillId="11" borderId="41" xfId="0" applyFont="1" applyFill="1" applyBorder="1" applyAlignment="1">
      <alignment horizontal="left" vertical="center" wrapText="1"/>
    </xf>
    <xf numFmtId="4" fontId="1" fillId="11" borderId="42" xfId="0" applyNumberFormat="1" applyFont="1" applyFill="1" applyBorder="1" applyAlignment="1">
      <alignment horizontal="right" vertical="center"/>
    </xf>
    <xf numFmtId="4" fontId="1" fillId="11" borderId="43" xfId="0" applyNumberFormat="1" applyFont="1" applyFill="1" applyBorder="1" applyAlignment="1">
      <alignment horizontal="right" vertical="center"/>
    </xf>
    <xf numFmtId="4" fontId="1" fillId="11" borderId="41" xfId="0" applyNumberFormat="1" applyFont="1" applyFill="1" applyBorder="1" applyAlignment="1">
      <alignment horizontal="right" vertical="center"/>
    </xf>
    <xf numFmtId="170" fontId="1" fillId="11" borderId="42" xfId="0" applyNumberFormat="1" applyFont="1" applyFill="1" applyBorder="1" applyAlignment="1">
      <alignment horizontal="right" vertical="center"/>
    </xf>
    <xf numFmtId="0" fontId="1" fillId="0" borderId="42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 wrapText="1"/>
    </xf>
    <xf numFmtId="169" fontId="36" fillId="0" borderId="0" xfId="0" applyNumberFormat="1" applyFont="1" applyAlignment="1">
      <alignment vertical="center" wrapText="1"/>
    </xf>
    <xf numFmtId="0" fontId="27" fillId="0" borderId="44" xfId="0" applyNumberFormat="1" applyFont="1" applyBorder="1" applyAlignment="1">
      <alignment vertical="center"/>
    </xf>
    <xf numFmtId="0" fontId="27" fillId="0" borderId="44" xfId="0" applyNumberFormat="1" applyFont="1" applyFill="1" applyBorder="1" applyAlignment="1">
      <alignment vertical="center"/>
    </xf>
    <xf numFmtId="0" fontId="39" fillId="0" borderId="1" xfId="0" applyNumberFormat="1" applyFont="1" applyBorder="1" applyAlignment="1">
      <alignment horizontal="center" vertical="center" wrapText="1"/>
    </xf>
    <xf numFmtId="168" fontId="39" fillId="0" borderId="1" xfId="0" applyNumberFormat="1" applyFont="1" applyBorder="1" applyAlignment="1">
      <alignment horizontal="center" vertical="center" wrapText="1"/>
    </xf>
    <xf numFmtId="169" fontId="39" fillId="0" borderId="1" xfId="0" applyNumberFormat="1" applyFont="1" applyFill="1" applyBorder="1" applyAlignment="1">
      <alignment horizontal="center" vertical="center" wrapText="1"/>
    </xf>
    <xf numFmtId="169" fontId="39" fillId="0" borderId="1" xfId="0" applyNumberFormat="1" applyFont="1" applyBorder="1" applyAlignment="1">
      <alignment horizontal="center" vertical="center" wrapText="1"/>
    </xf>
    <xf numFmtId="170" fontId="39" fillId="0" borderId="1" xfId="0" applyNumberFormat="1" applyFont="1" applyFill="1" applyBorder="1" applyAlignment="1">
      <alignment horizontal="center" vertical="center" wrapText="1"/>
    </xf>
    <xf numFmtId="168" fontId="39" fillId="0" borderId="0" xfId="0" applyNumberFormat="1" applyFont="1" applyAlignment="1">
      <alignment horizontal="center" vertical="center" wrapText="1"/>
    </xf>
    <xf numFmtId="0" fontId="39" fillId="3" borderId="1" xfId="0" applyNumberFormat="1" applyFont="1" applyFill="1" applyBorder="1" applyAlignment="1" quotePrefix="1">
      <alignment horizontal="center" vertical="center" wrapText="1"/>
    </xf>
    <xf numFmtId="0" fontId="39" fillId="3" borderId="1" xfId="0" applyNumberFormat="1" applyFont="1" applyFill="1" applyBorder="1" applyAlignment="1">
      <alignment horizontal="center" vertical="center" wrapText="1"/>
    </xf>
    <xf numFmtId="0" fontId="39" fillId="3" borderId="1" xfId="0" applyNumberFormat="1" applyFont="1" applyFill="1" applyBorder="1" applyAlignment="1">
      <alignment horizontal="right" vertical="center" wrapText="1"/>
    </xf>
    <xf numFmtId="168" fontId="39" fillId="3" borderId="1" xfId="0" applyNumberFormat="1" applyFont="1" applyFill="1" applyBorder="1" applyAlignment="1">
      <alignment vertical="center" wrapText="1"/>
    </xf>
    <xf numFmtId="169" fontId="39" fillId="3" borderId="1" xfId="0" applyNumberFormat="1" applyFont="1" applyFill="1" applyBorder="1" applyAlignment="1">
      <alignment horizontal="center" vertical="center" wrapText="1"/>
    </xf>
    <xf numFmtId="170" fontId="39" fillId="3" borderId="1" xfId="0" applyNumberFormat="1" applyFont="1" applyFill="1" applyBorder="1" applyAlignment="1">
      <alignment vertical="center" wrapText="1"/>
    </xf>
    <xf numFmtId="169" fontId="57" fillId="3" borderId="1" xfId="0" applyNumberFormat="1" applyFont="1" applyFill="1" applyBorder="1" applyAlignment="1">
      <alignment horizontal="justify" vertical="center" wrapText="1"/>
    </xf>
    <xf numFmtId="0" fontId="39" fillId="0" borderId="1" xfId="0" applyNumberFormat="1" applyFont="1" applyBorder="1" applyAlignment="1" quotePrefix="1">
      <alignment horizontal="center" vertical="center" wrapText="1"/>
    </xf>
    <xf numFmtId="0" fontId="39" fillId="0" borderId="1" xfId="0" applyNumberFormat="1" applyFont="1" applyBorder="1" applyAlignment="1">
      <alignment horizontal="right" vertical="center" wrapText="1"/>
    </xf>
    <xf numFmtId="168" fontId="39" fillId="0" borderId="1" xfId="0" applyNumberFormat="1" applyFont="1" applyBorder="1" applyAlignment="1">
      <alignment vertical="center" wrapText="1"/>
    </xf>
    <xf numFmtId="169" fontId="39" fillId="0" borderId="1" xfId="0" applyNumberFormat="1" applyFont="1" applyBorder="1" applyAlignment="1">
      <alignment horizontal="right" vertical="center" wrapText="1"/>
    </xf>
    <xf numFmtId="169" fontId="39" fillId="2" borderId="1" xfId="0" applyNumberFormat="1" applyFont="1" applyFill="1" applyBorder="1" applyAlignment="1">
      <alignment horizontal="right" vertical="center" wrapText="1"/>
    </xf>
    <xf numFmtId="170" fontId="39" fillId="0" borderId="1" xfId="0" applyNumberFormat="1" applyFont="1" applyFill="1" applyBorder="1" applyAlignment="1">
      <alignment vertical="center" wrapText="1"/>
    </xf>
    <xf numFmtId="0" fontId="36" fillId="0" borderId="1" xfId="0" applyNumberFormat="1" applyFont="1" applyBorder="1" applyAlignment="1" quotePrefix="1">
      <alignment horizontal="center" vertical="center" wrapText="1"/>
    </xf>
    <xf numFmtId="0" fontId="36" fillId="0" borderId="1" xfId="0" applyNumberFormat="1" applyFont="1" applyBorder="1" applyAlignment="1" quotePrefix="1">
      <alignment horizontal="right" vertical="center" wrapText="1"/>
    </xf>
    <xf numFmtId="168" fontId="36" fillId="0" borderId="1" xfId="0" applyNumberFormat="1" applyFont="1" applyBorder="1" applyAlignment="1">
      <alignment vertical="center" wrapText="1"/>
    </xf>
    <xf numFmtId="169" fontId="36" fillId="0" borderId="1" xfId="0" applyNumberFormat="1" applyFont="1" applyBorder="1" applyAlignment="1">
      <alignment horizontal="right" vertical="center" wrapText="1"/>
    </xf>
    <xf numFmtId="169" fontId="36" fillId="2" borderId="1" xfId="0" applyNumberFormat="1" applyFont="1" applyFill="1" applyBorder="1" applyAlignment="1">
      <alignment horizontal="right" vertical="center" wrapText="1"/>
    </xf>
    <xf numFmtId="170" fontId="36" fillId="0" borderId="1" xfId="0" applyNumberFormat="1" applyFont="1" applyFill="1" applyBorder="1" applyAlignment="1">
      <alignment vertical="center" wrapText="1"/>
    </xf>
    <xf numFmtId="0" fontId="39" fillId="3" borderId="1" xfId="0" applyNumberFormat="1" applyFont="1" applyFill="1" applyBorder="1" applyAlignment="1" quotePrefix="1">
      <alignment horizontal="right" vertical="center" wrapText="1"/>
    </xf>
    <xf numFmtId="169" fontId="39" fillId="3" borderId="1" xfId="0" applyNumberFormat="1" applyFont="1" applyFill="1" applyBorder="1" applyAlignment="1">
      <alignment horizontal="right" vertical="center" wrapText="1"/>
    </xf>
    <xf numFmtId="169" fontId="39" fillId="3" borderId="1" xfId="0" applyNumberFormat="1" applyFont="1" applyFill="1" applyBorder="1" applyAlignment="1">
      <alignment horizontal="justify" vertical="center" wrapText="1"/>
    </xf>
    <xf numFmtId="0" fontId="39" fillId="0" borderId="1" xfId="0" applyNumberFormat="1" applyFont="1" applyBorder="1" applyAlignment="1" quotePrefix="1">
      <alignment horizontal="right" vertical="center" wrapText="1"/>
    </xf>
    <xf numFmtId="4" fontId="39" fillId="3" borderId="1" xfId="0" applyNumberFormat="1" applyFont="1" applyFill="1" applyBorder="1" applyAlignment="1">
      <alignment horizontal="justify" vertical="center" wrapText="1"/>
    </xf>
    <xf numFmtId="169" fontId="39" fillId="0" borderId="1" xfId="0" applyNumberFormat="1" applyFont="1" applyFill="1" applyBorder="1" applyAlignment="1">
      <alignment horizontal="right" vertical="center" wrapText="1"/>
    </xf>
    <xf numFmtId="0" fontId="36" fillId="0" borderId="1" xfId="0" applyNumberFormat="1" applyFont="1" applyBorder="1" applyAlignment="1">
      <alignment horizontal="center" vertical="center" wrapText="1"/>
    </xf>
    <xf numFmtId="169" fontId="36" fillId="0" borderId="1" xfId="0" applyNumberFormat="1" applyFont="1" applyFill="1" applyBorder="1" applyAlignment="1">
      <alignment horizontal="right" vertical="center" wrapText="1"/>
    </xf>
    <xf numFmtId="169" fontId="39" fillId="12" borderId="1" xfId="0" applyNumberFormat="1" applyFont="1" applyFill="1" applyBorder="1" applyAlignment="1">
      <alignment horizontal="center" vertical="center" wrapText="1"/>
    </xf>
    <xf numFmtId="170" fontId="39" fillId="12" borderId="1" xfId="0" applyNumberFormat="1" applyFont="1" applyFill="1" applyBorder="1" applyAlignment="1">
      <alignment vertical="center" wrapText="1"/>
    </xf>
    <xf numFmtId="4" fontId="36" fillId="12" borderId="1" xfId="0" applyNumberFormat="1" applyFont="1" applyFill="1" applyBorder="1" applyAlignment="1">
      <alignment horizontal="justify" vertical="center" wrapText="1"/>
    </xf>
    <xf numFmtId="49" fontId="2" fillId="0" borderId="0" xfId="0" applyNumberFormat="1" applyFont="1" applyAlignment="1">
      <alignment horizontal="justify" vertical="center"/>
    </xf>
    <xf numFmtId="0" fontId="27" fillId="0" borderId="44" xfId="0" applyFont="1" applyBorder="1" applyAlignment="1">
      <alignment vertical="center"/>
    </xf>
    <xf numFmtId="0" fontId="27" fillId="0" borderId="44" xfId="0" applyFont="1" applyBorder="1" applyAlignment="1">
      <alignment horizontal="justify" vertical="center"/>
    </xf>
    <xf numFmtId="0" fontId="39" fillId="6" borderId="1" xfId="0" applyFont="1" applyFill="1" applyBorder="1" applyAlignment="1" quotePrefix="1">
      <alignment horizontal="center" vertical="center"/>
    </xf>
    <xf numFmtId="0" fontId="39" fillId="6" borderId="1" xfId="0" applyFont="1" applyFill="1" applyBorder="1" applyAlignment="1">
      <alignment horizontal="center" vertical="center"/>
    </xf>
    <xf numFmtId="0" fontId="39" fillId="6" borderId="1" xfId="0" applyFont="1" applyFill="1" applyBorder="1" applyAlignment="1">
      <alignment horizontal="left" vertical="center" wrapText="1" shrinkToFit="1"/>
    </xf>
    <xf numFmtId="169" fontId="39" fillId="6" borderId="1" xfId="0" applyNumberFormat="1" applyFont="1" applyFill="1" applyBorder="1" applyAlignment="1">
      <alignment horizontal="center" vertical="center"/>
    </xf>
    <xf numFmtId="170" fontId="39" fillId="6" borderId="1" xfId="0" applyNumberFormat="1" applyFont="1" applyFill="1" applyBorder="1" applyAlignment="1">
      <alignment horizontal="center" vertical="center"/>
    </xf>
    <xf numFmtId="49" fontId="36" fillId="6" borderId="1" xfId="0" applyNumberFormat="1" applyFont="1" applyFill="1" applyBorder="1" applyAlignment="1">
      <alignment horizontal="justify" vertical="center"/>
    </xf>
    <xf numFmtId="0" fontId="36" fillId="13" borderId="0" xfId="0" applyFont="1" applyFill="1" applyAlignment="1">
      <alignment vertical="center"/>
    </xf>
    <xf numFmtId="0" fontId="45" fillId="0" borderId="1" xfId="0" applyFont="1" applyBorder="1" applyAlignment="1" quotePrefix="1">
      <alignment horizontal="center" vertical="center" wrapText="1"/>
    </xf>
    <xf numFmtId="0" fontId="45" fillId="0" borderId="1" xfId="0" applyFont="1" applyBorder="1" applyAlignment="1">
      <alignment vertical="center" wrapText="1"/>
    </xf>
    <xf numFmtId="170" fontId="39" fillId="0" borderId="1" xfId="0" applyNumberFormat="1" applyFont="1" applyBorder="1" applyAlignment="1">
      <alignment horizontal="right" vertical="center" wrapText="1"/>
    </xf>
    <xf numFmtId="49" fontId="36" fillId="0" borderId="1" xfId="0" applyNumberFormat="1" applyFont="1" applyBorder="1" applyAlignment="1">
      <alignment horizontal="justify" vertical="center" wrapText="1"/>
    </xf>
    <xf numFmtId="0" fontId="36" fillId="0" borderId="0" xfId="0" applyFont="1" applyAlignment="1">
      <alignment vertical="center"/>
    </xf>
    <xf numFmtId="0" fontId="39" fillId="0" borderId="1" xfId="0" applyFont="1" applyBorder="1" applyAlignment="1" quotePrefix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170" fontId="36" fillId="0" borderId="1" xfId="0" applyNumberFormat="1" applyFont="1" applyFill="1" applyBorder="1" applyAlignment="1">
      <alignment horizontal="right" vertical="center" wrapText="1"/>
    </xf>
    <xf numFmtId="0" fontId="36" fillId="0" borderId="1" xfId="0" applyFont="1" applyBorder="1" applyAlignment="1" quotePrefix="1">
      <alignment horizontal="center" vertical="center" wrapText="1"/>
    </xf>
    <xf numFmtId="0" fontId="36" fillId="13" borderId="1" xfId="0" applyFont="1" applyFill="1" applyBorder="1" applyAlignment="1">
      <alignment horizontal="center" vertical="center" wrapText="1"/>
    </xf>
    <xf numFmtId="0" fontId="36" fillId="13" borderId="1" xfId="0" applyFont="1" applyFill="1" applyBorder="1" applyAlignment="1">
      <alignment vertical="center" wrapText="1"/>
    </xf>
    <xf numFmtId="169" fontId="36" fillId="13" borderId="1" xfId="0" applyNumberFormat="1" applyFont="1" applyFill="1" applyBorder="1" applyAlignment="1">
      <alignment vertical="center" wrapText="1"/>
    </xf>
    <xf numFmtId="0" fontId="36" fillId="0" borderId="1" xfId="0" applyNumberFormat="1" applyFont="1" applyBorder="1" applyAlignment="1" quotePrefix="1">
      <alignment horizontal="justify" vertical="center" wrapText="1"/>
    </xf>
    <xf numFmtId="49" fontId="36" fillId="0" borderId="1" xfId="0" applyNumberFormat="1" applyFont="1" applyBorder="1" applyAlignment="1" quotePrefix="1">
      <alignment horizontal="justify" vertical="center" wrapText="1"/>
    </xf>
    <xf numFmtId="170" fontId="36" fillId="0" borderId="1" xfId="0" applyNumberFormat="1" applyFont="1" applyBorder="1" applyAlignment="1">
      <alignment horizontal="right" vertical="center" wrapText="1"/>
    </xf>
    <xf numFmtId="0" fontId="39" fillId="6" borderId="1" xfId="0" applyFont="1" applyFill="1" applyBorder="1" applyAlignment="1">
      <alignment horizontal="center" vertical="center" wrapText="1"/>
    </xf>
    <xf numFmtId="0" fontId="39" fillId="6" borderId="1" xfId="0" applyFont="1" applyFill="1" applyBorder="1" applyAlignment="1">
      <alignment vertical="center" wrapText="1"/>
    </xf>
    <xf numFmtId="169" fontId="39" fillId="6" borderId="1" xfId="0" applyNumberFormat="1" applyFont="1" applyFill="1" applyBorder="1" applyAlignment="1">
      <alignment horizontal="right" vertical="center" wrapText="1"/>
    </xf>
    <xf numFmtId="49" fontId="39" fillId="6" borderId="1" xfId="0" applyNumberFormat="1" applyFont="1" applyFill="1" applyBorder="1" applyAlignment="1">
      <alignment horizontal="justify" vertical="center"/>
    </xf>
    <xf numFmtId="0" fontId="39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169" fontId="39" fillId="6" borderId="1" xfId="0" applyNumberFormat="1" applyFont="1" applyFill="1" applyBorder="1" applyAlignment="1">
      <alignment horizontal="center" vertical="center" wrapText="1"/>
    </xf>
    <xf numFmtId="170" fontId="39" fillId="6" borderId="1" xfId="0" applyNumberFormat="1" applyFont="1" applyFill="1" applyBorder="1" applyAlignment="1">
      <alignment horizontal="right" vertical="center" wrapText="1"/>
    </xf>
    <xf numFmtId="169" fontId="39" fillId="6" borderId="1" xfId="0" applyNumberFormat="1" applyFont="1" applyFill="1" applyBorder="1" applyAlignment="1">
      <alignment horizontal="justify" vertical="center" wrapText="1"/>
    </xf>
    <xf numFmtId="0" fontId="45" fillId="0" borderId="1" xfId="0" applyFont="1" applyFill="1" applyBorder="1" applyAlignment="1">
      <alignment horizontal="center" vertical="center" wrapText="1"/>
    </xf>
    <xf numFmtId="0" fontId="59" fillId="0" borderId="1" xfId="0" applyFont="1" applyFill="1" applyBorder="1" applyAlignment="1">
      <alignment horizontal="center" vertical="center" wrapText="1"/>
    </xf>
    <xf numFmtId="0" fontId="59" fillId="0" borderId="1" xfId="0" applyFont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49" fontId="36" fillId="0" borderId="1" xfId="0" applyNumberFormat="1" applyFont="1" applyBorder="1" applyAlignment="1" quotePrefix="1">
      <alignment horizontal="justify" vertical="center"/>
    </xf>
    <xf numFmtId="49" fontId="36" fillId="13" borderId="1" xfId="0" applyNumberFormat="1" applyFont="1" applyFill="1" applyBorder="1" applyAlignment="1" quotePrefix="1">
      <alignment horizontal="justify" vertical="center"/>
    </xf>
    <xf numFmtId="0" fontId="36" fillId="0" borderId="1" xfId="0" applyFont="1" applyBorder="1" applyAlignment="1" quotePrefix="1">
      <alignment horizontal="justify" vertical="center" wrapText="1"/>
    </xf>
    <xf numFmtId="49" fontId="36" fillId="0" borderId="1" xfId="0" applyNumberFormat="1" applyFont="1" applyFill="1" applyBorder="1" applyAlignment="1" quotePrefix="1">
      <alignment horizontal="justify" vertical="center" wrapText="1"/>
    </xf>
    <xf numFmtId="0" fontId="36" fillId="0" borderId="0" xfId="0" applyFont="1" applyBorder="1" applyAlignment="1">
      <alignment vertical="center"/>
    </xf>
    <xf numFmtId="49" fontId="36" fillId="6" borderId="1" xfId="0" applyNumberFormat="1" applyFont="1" applyFill="1" applyBorder="1" applyAlignment="1">
      <alignment horizontal="justify" vertical="center" wrapText="1"/>
    </xf>
    <xf numFmtId="169" fontId="36" fillId="0" borderId="0" xfId="0" applyNumberFormat="1" applyFont="1" applyFill="1" applyBorder="1" applyAlignment="1">
      <alignment vertical="center" wrapText="1"/>
    </xf>
    <xf numFmtId="170" fontId="39" fillId="0" borderId="0" xfId="0" applyNumberFormat="1" applyFont="1" applyBorder="1" applyAlignment="1">
      <alignment horizontal="right" vertical="center" wrapText="1"/>
    </xf>
    <xf numFmtId="49" fontId="36" fillId="0" borderId="0" xfId="0" applyNumberFormat="1" applyFont="1" applyAlignment="1">
      <alignment horizontal="justify" vertical="center"/>
    </xf>
    <xf numFmtId="44" fontId="14" fillId="0" borderId="0" xfId="0" applyNumberFormat="1" applyFont="1" applyAlignment="1">
      <alignment vertical="center" wrapText="1"/>
    </xf>
    <xf numFmtId="44" fontId="0" fillId="0" borderId="0" xfId="0" applyNumberFormat="1" applyAlignment="1">
      <alignment vertical="center"/>
    </xf>
    <xf numFmtId="0" fontId="14" fillId="0" borderId="0" xfId="0" applyFont="1" applyAlignment="1" quotePrefix="1">
      <alignment vertical="center"/>
    </xf>
    <xf numFmtId="4" fontId="12" fillId="0" borderId="6" xfId="0" applyNumberFormat="1" applyFont="1" applyBorder="1" applyAlignment="1">
      <alignment horizontal="right" vertical="center" wrapText="1"/>
    </xf>
    <xf numFmtId="49" fontId="1" fillId="0" borderId="0" xfId="0" applyNumberFormat="1" applyFont="1" applyAlignment="1">
      <alignment/>
    </xf>
    <xf numFmtId="0" fontId="24" fillId="0" borderId="0" xfId="0" applyFont="1" applyFill="1" applyBorder="1" applyAlignment="1" quotePrefix="1">
      <alignment horizontal="left" vertical="center" wrapText="1" indent="2"/>
    </xf>
    <xf numFmtId="0" fontId="14" fillId="0" borderId="0" xfId="0" applyNumberFormat="1" applyFont="1" applyAlignment="1">
      <alignment horizontal="left" vertical="center" wrapText="1"/>
    </xf>
    <xf numFmtId="4" fontId="3" fillId="0" borderId="18" xfId="0" applyNumberFormat="1" applyFont="1" applyBorder="1" applyAlignment="1">
      <alignment vertical="center" wrapText="1"/>
    </xf>
    <xf numFmtId="4" fontId="3" fillId="0" borderId="16" xfId="0" applyNumberFormat="1" applyFont="1" applyBorder="1" applyAlignment="1">
      <alignment vertical="center" wrapText="1"/>
    </xf>
    <xf numFmtId="4" fontId="2" fillId="0" borderId="16" xfId="0" applyNumberFormat="1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4" fontId="33" fillId="3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4" fontId="1" fillId="0" borderId="0" xfId="0" applyNumberFormat="1" applyFont="1" applyFill="1" applyAlignment="1">
      <alignment vertical="center" wrapText="1"/>
    </xf>
    <xf numFmtId="0" fontId="33" fillId="2" borderId="5" xfId="0" applyFont="1" applyFill="1" applyBorder="1" applyAlignment="1">
      <alignment horizontal="left" vertical="center" wrapText="1"/>
    </xf>
    <xf numFmtId="4" fontId="33" fillId="3" borderId="18" xfId="0" applyNumberFormat="1" applyFont="1" applyFill="1" applyBorder="1" applyAlignment="1">
      <alignment horizontal="center" vertical="center" wrapText="1"/>
    </xf>
    <xf numFmtId="4" fontId="33" fillId="3" borderId="16" xfId="0" applyNumberFormat="1" applyFont="1" applyFill="1" applyBorder="1" applyAlignment="1">
      <alignment horizontal="center" vertical="center" wrapText="1"/>
    </xf>
    <xf numFmtId="4" fontId="33" fillId="3" borderId="5" xfId="0" applyNumberFormat="1" applyFont="1" applyFill="1" applyBorder="1" applyAlignment="1">
      <alignment horizontal="center" vertical="center" wrapText="1"/>
    </xf>
    <xf numFmtId="0" fontId="33" fillId="2" borderId="18" xfId="0" applyFont="1" applyFill="1" applyBorder="1" applyAlignment="1">
      <alignment horizontal="left" vertical="center" wrapText="1"/>
    </xf>
    <xf numFmtId="0" fontId="33" fillId="2" borderId="16" xfId="0" applyFont="1" applyFill="1" applyBorder="1" applyAlignment="1">
      <alignment horizontal="left" vertical="center" wrapText="1"/>
    </xf>
    <xf numFmtId="0" fontId="20" fillId="0" borderId="18" xfId="0" applyFont="1" applyFill="1" applyBorder="1" applyAlignment="1">
      <alignment horizontal="right" vertical="center" wrapText="1"/>
    </xf>
    <xf numFmtId="0" fontId="20" fillId="0" borderId="5" xfId="0" applyFont="1" applyFill="1" applyBorder="1" applyAlignment="1">
      <alignment horizontal="right" vertical="center" wrapText="1"/>
    </xf>
    <xf numFmtId="0" fontId="12" fillId="0" borderId="45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right" vertical="center" wrapText="1"/>
    </xf>
    <xf numFmtId="4" fontId="12" fillId="0" borderId="6" xfId="0" applyNumberFormat="1" applyFont="1" applyFill="1" applyBorder="1" applyAlignment="1">
      <alignment horizontal="right" vertical="center" wrapText="1"/>
    </xf>
    <xf numFmtId="4" fontId="12" fillId="0" borderId="7" xfId="0" applyNumberFormat="1" applyFont="1" applyFill="1" applyBorder="1" applyAlignment="1">
      <alignment horizontal="right" vertical="center" wrapText="1"/>
    </xf>
    <xf numFmtId="4" fontId="12" fillId="0" borderId="7" xfId="0" applyNumberFormat="1" applyFont="1" applyBorder="1" applyAlignment="1">
      <alignment horizontal="right" vertical="center" wrapText="1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right" vertical="center" wrapText="1"/>
    </xf>
    <xf numFmtId="4" fontId="12" fillId="0" borderId="6" xfId="0" applyNumberFormat="1" applyFont="1" applyFill="1" applyBorder="1" applyAlignment="1">
      <alignment horizontal="right" vertical="center"/>
    </xf>
    <xf numFmtId="4" fontId="12" fillId="0" borderId="7" xfId="0" applyNumberFormat="1" applyFont="1" applyFill="1" applyBorder="1" applyAlignment="1">
      <alignment horizontal="right" vertical="center"/>
    </xf>
    <xf numFmtId="0" fontId="20" fillId="0" borderId="18" xfId="0" applyFont="1" applyFill="1" applyBorder="1" applyAlignment="1">
      <alignment horizontal="right" vertical="center" wrapText="1"/>
    </xf>
    <xf numFmtId="0" fontId="20" fillId="0" borderId="5" xfId="0" applyFont="1" applyFill="1" applyBorder="1" applyAlignment="1">
      <alignment horizontal="right" vertical="center" wrapText="1"/>
    </xf>
    <xf numFmtId="0" fontId="1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30" fillId="0" borderId="4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 wrapText="1"/>
    </xf>
    <xf numFmtId="0" fontId="20" fillId="4" borderId="24" xfId="0" applyFont="1" applyFill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left" vertical="center" wrapText="1"/>
    </xf>
    <xf numFmtId="0" fontId="19" fillId="0" borderId="52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20" fillId="0" borderId="18" xfId="0" applyFont="1" applyBorder="1" applyAlignment="1">
      <alignment horizontal="right" vertical="center" wrapText="1"/>
    </xf>
    <xf numFmtId="0" fontId="20" fillId="0" borderId="5" xfId="0" applyFont="1" applyBorder="1" applyAlignment="1">
      <alignment horizontal="right" vertical="center" wrapText="1"/>
    </xf>
    <xf numFmtId="4" fontId="12" fillId="0" borderId="2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4" fontId="12" fillId="0" borderId="2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right" vertical="center" wrapText="1"/>
    </xf>
    <xf numFmtId="0" fontId="2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4" fontId="14" fillId="0" borderId="0" xfId="0" applyNumberFormat="1" applyFont="1" applyAlignment="1">
      <alignment horizontal="right" vertical="center"/>
    </xf>
    <xf numFmtId="0" fontId="28" fillId="0" borderId="2" xfId="0" applyFont="1" applyBorder="1" applyAlignment="1">
      <alignment horizontal="center"/>
    </xf>
    <xf numFmtId="0" fontId="28" fillId="0" borderId="6" xfId="0" applyFont="1" applyBorder="1" applyAlignment="1">
      <alignment horizontal="center"/>
    </xf>
    <xf numFmtId="0" fontId="28" fillId="0" borderId="7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4" fontId="30" fillId="0" borderId="2" xfId="0" applyNumberFormat="1" applyFont="1" applyBorder="1" applyAlignment="1">
      <alignment horizontal="center" vertical="center"/>
    </xf>
    <xf numFmtId="4" fontId="30" fillId="0" borderId="6" xfId="0" applyNumberFormat="1" applyFont="1" applyBorder="1" applyAlignment="1">
      <alignment horizontal="center" vertical="center"/>
    </xf>
    <xf numFmtId="4" fontId="30" fillId="0" borderId="7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4" fontId="22" fillId="0" borderId="0" xfId="0" applyNumberFormat="1" applyFont="1" applyAlignment="1">
      <alignment horizontal="right" vertical="center"/>
    </xf>
    <xf numFmtId="4" fontId="12" fillId="0" borderId="2" xfId="0" applyNumberFormat="1" applyFont="1" applyFill="1" applyBorder="1" applyAlignment="1">
      <alignment horizontal="left" vertical="center" wrapText="1"/>
    </xf>
    <xf numFmtId="4" fontId="12" fillId="0" borderId="24" xfId="0" applyNumberFormat="1" applyFont="1" applyFill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4" fontId="36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textRotation="255" wrapText="1"/>
    </xf>
    <xf numFmtId="0" fontId="35" fillId="0" borderId="0" xfId="0" applyFont="1" applyAlignment="1">
      <alignment horizontal="right" vertical="center" wrapText="1"/>
    </xf>
    <xf numFmtId="0" fontId="35" fillId="0" borderId="0" xfId="0" applyFont="1" applyBorder="1" applyAlignment="1">
      <alignment horizontal="right" vertical="center" wrapText="1"/>
    </xf>
    <xf numFmtId="0" fontId="39" fillId="0" borderId="1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0" fontId="40" fillId="0" borderId="0" xfId="0" applyFont="1" applyAlignment="1">
      <alignment horizontal="left" vertical="center" wrapText="1"/>
    </xf>
    <xf numFmtId="0" fontId="27" fillId="0" borderId="0" xfId="0" applyFont="1" applyAlignment="1">
      <alignment horizontal="center"/>
    </xf>
    <xf numFmtId="4" fontId="12" fillId="0" borderId="2" xfId="0" applyNumberFormat="1" applyFont="1" applyBorder="1" applyAlignment="1">
      <alignment horizontal="left" vertical="center" wrapText="1"/>
    </xf>
    <xf numFmtId="4" fontId="12" fillId="0" borderId="6" xfId="0" applyNumberFormat="1" applyFont="1" applyBorder="1" applyAlignment="1">
      <alignment horizontal="left" vertical="center" wrapText="1"/>
    </xf>
    <xf numFmtId="4" fontId="12" fillId="0" borderId="24" xfId="0" applyNumberFormat="1" applyFont="1" applyBorder="1" applyAlignment="1">
      <alignment horizontal="left" vertical="center" wrapText="1"/>
    </xf>
    <xf numFmtId="0" fontId="30" fillId="0" borderId="0" xfId="0" applyFont="1" applyAlignment="1">
      <alignment horizontal="center"/>
    </xf>
    <xf numFmtId="0" fontId="20" fillId="0" borderId="4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2" borderId="48" xfId="0" applyFont="1" applyFill="1" applyBorder="1" applyAlignment="1">
      <alignment horizontal="left" vertical="center" wrapText="1"/>
    </xf>
    <xf numFmtId="0" fontId="20" fillId="2" borderId="49" xfId="0" applyFont="1" applyFill="1" applyBorder="1" applyAlignment="1">
      <alignment horizontal="left" vertical="center" wrapText="1"/>
    </xf>
    <xf numFmtId="0" fontId="20" fillId="2" borderId="18" xfId="0" applyFont="1" applyFill="1" applyBorder="1" applyAlignment="1">
      <alignment horizontal="left" vertical="top" wrapText="1"/>
    </xf>
    <xf numFmtId="0" fontId="20" fillId="2" borderId="5" xfId="0" applyFont="1" applyFill="1" applyBorder="1" applyAlignment="1">
      <alignment horizontal="left" vertical="top" wrapText="1"/>
    </xf>
    <xf numFmtId="4" fontId="12" fillId="0" borderId="7" xfId="0" applyNumberFormat="1" applyFont="1" applyBorder="1" applyAlignment="1">
      <alignment horizontal="left" vertical="center" wrapText="1"/>
    </xf>
    <xf numFmtId="0" fontId="30" fillId="0" borderId="53" xfId="0" applyFont="1" applyBorder="1" applyAlignment="1">
      <alignment horizontal="center"/>
    </xf>
    <xf numFmtId="0" fontId="30" fillId="0" borderId="54" xfId="0" applyFont="1" applyBorder="1" applyAlignment="1">
      <alignment horizontal="center"/>
    </xf>
    <xf numFmtId="0" fontId="30" fillId="0" borderId="55" xfId="0" applyFont="1" applyBorder="1" applyAlignment="1">
      <alignment horizontal="center"/>
    </xf>
    <xf numFmtId="0" fontId="30" fillId="0" borderId="56" xfId="0" applyFont="1" applyBorder="1" applyAlignment="1">
      <alignment horizontal="center"/>
    </xf>
    <xf numFmtId="0" fontId="30" fillId="0" borderId="54" xfId="0" applyFont="1" applyBorder="1" applyAlignment="1">
      <alignment horizontal="center" vertical="center" wrapText="1"/>
    </xf>
    <xf numFmtId="0" fontId="30" fillId="0" borderId="55" xfId="0" applyFont="1" applyBorder="1" applyAlignment="1">
      <alignment horizontal="center" vertical="center" wrapText="1"/>
    </xf>
    <xf numFmtId="0" fontId="30" fillId="0" borderId="56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center" wrapText="1" indent="3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horizontal="justify" vertical="center" wrapText="1"/>
    </xf>
    <xf numFmtId="0" fontId="14" fillId="0" borderId="0" xfId="0" applyFont="1" applyAlignment="1" quotePrefix="1">
      <alignment horizontal="left" vertical="center"/>
    </xf>
    <xf numFmtId="0" fontId="14" fillId="0" borderId="0" xfId="0" applyFont="1" applyAlignment="1" quotePrefix="1">
      <alignment horizontal="left" vertical="center" wrapText="1"/>
    </xf>
    <xf numFmtId="0" fontId="14" fillId="0" borderId="0" xfId="0" applyFont="1" applyAlignment="1" quotePrefix="1">
      <alignment horizontal="justify" vertical="center" wrapText="1"/>
    </xf>
    <xf numFmtId="4" fontId="36" fillId="0" borderId="1" xfId="0" applyNumberFormat="1" applyFont="1" applyBorder="1" applyAlignment="1">
      <alignment horizontal="justify" vertical="center" wrapText="1"/>
    </xf>
    <xf numFmtId="4" fontId="45" fillId="0" borderId="1" xfId="0" applyNumberFormat="1" applyFont="1" applyBorder="1" applyAlignment="1">
      <alignment horizontal="justify" vertical="center" wrapText="1"/>
    </xf>
    <xf numFmtId="4" fontId="36" fillId="0" borderId="1" xfId="0" applyNumberFormat="1" applyFont="1" applyFill="1" applyBorder="1" applyAlignment="1">
      <alignment horizontal="justify" vertical="center" wrapText="1"/>
    </xf>
    <xf numFmtId="4" fontId="36" fillId="0" borderId="2" xfId="0" applyNumberFormat="1" applyFont="1" applyBorder="1" applyAlignment="1">
      <alignment horizontal="justify" vertical="center" wrapText="1"/>
    </xf>
    <xf numFmtId="0" fontId="0" fillId="0" borderId="6" xfId="0" applyBorder="1" applyAlignment="1">
      <alignment horizontal="justify" vertical="center"/>
    </xf>
    <xf numFmtId="0" fontId="0" fillId="0" borderId="7" xfId="0" applyBorder="1" applyAlignment="1">
      <alignment horizontal="justify" vertical="center"/>
    </xf>
    <xf numFmtId="4" fontId="36" fillId="0" borderId="2" xfId="0" applyNumberFormat="1" applyFont="1" applyBorder="1" applyAlignment="1">
      <alignment horizontal="left" vertical="center" wrapText="1"/>
    </xf>
    <xf numFmtId="4" fontId="36" fillId="0" borderId="7" xfId="0" applyNumberFormat="1" applyFont="1" applyBorder="1" applyAlignment="1">
      <alignment horizontal="left" vertical="center" wrapText="1"/>
    </xf>
    <xf numFmtId="168" fontId="39" fillId="12" borderId="1" xfId="0" applyNumberFormat="1" applyFont="1" applyFill="1" applyBorder="1" applyAlignment="1">
      <alignment horizontal="center" vertical="center" wrapText="1"/>
    </xf>
    <xf numFmtId="0" fontId="36" fillId="0" borderId="2" xfId="0" applyFont="1" applyBorder="1" applyAlignment="1" quotePrefix="1">
      <alignment horizontal="justify" vertical="center" wrapText="1"/>
    </xf>
    <xf numFmtId="0" fontId="36" fillId="0" borderId="6" xfId="0" applyFont="1" applyBorder="1" applyAlignment="1" quotePrefix="1">
      <alignment horizontal="justify" vertical="center" wrapText="1"/>
    </xf>
    <xf numFmtId="0" fontId="36" fillId="0" borderId="7" xfId="0" applyFont="1" applyBorder="1" applyAlignment="1" quotePrefix="1">
      <alignment horizontal="justify" vertical="center" wrapText="1"/>
    </xf>
    <xf numFmtId="49" fontId="36" fillId="0" borderId="2" xfId="0" applyNumberFormat="1" applyFont="1" applyBorder="1" applyAlignment="1">
      <alignment horizontal="justify" vertical="center" wrapText="1"/>
    </xf>
    <xf numFmtId="49" fontId="36" fillId="0" borderId="6" xfId="0" applyNumberFormat="1" applyFont="1" applyBorder="1" applyAlignment="1">
      <alignment horizontal="justify" vertical="center" wrapText="1"/>
    </xf>
    <xf numFmtId="49" fontId="36" fillId="0" borderId="7" xfId="0" applyNumberFormat="1" applyFont="1" applyBorder="1" applyAlignment="1">
      <alignment horizontal="justify" vertical="center" wrapText="1"/>
    </xf>
    <xf numFmtId="49" fontId="36" fillId="0" borderId="2" xfId="0" applyNumberFormat="1" applyFont="1" applyBorder="1" applyAlignment="1" quotePrefix="1">
      <alignment horizontal="justify" vertical="center" wrapText="1"/>
    </xf>
    <xf numFmtId="49" fontId="36" fillId="0" borderId="6" xfId="0" applyNumberFormat="1" applyFont="1" applyBorder="1" applyAlignment="1" quotePrefix="1">
      <alignment horizontal="justify" vertical="center" wrapText="1"/>
    </xf>
    <xf numFmtId="49" fontId="36" fillId="0" borderId="7" xfId="0" applyNumberFormat="1" applyFont="1" applyBorder="1" applyAlignment="1" quotePrefix="1">
      <alignment horizontal="justify" vertical="center" wrapText="1"/>
    </xf>
    <xf numFmtId="0" fontId="36" fillId="0" borderId="2" xfId="0" applyNumberFormat="1" applyFont="1" applyBorder="1" applyAlignment="1" quotePrefix="1">
      <alignment horizontal="justify" vertical="center" wrapText="1"/>
    </xf>
    <xf numFmtId="0" fontId="36" fillId="0" borderId="6" xfId="0" applyNumberFormat="1" applyFont="1" applyBorder="1" applyAlignment="1">
      <alignment horizontal="justify" vertical="center" wrapText="1"/>
    </xf>
    <xf numFmtId="0" fontId="36" fillId="0" borderId="7" xfId="0" applyNumberFormat="1" applyFont="1" applyBorder="1" applyAlignment="1">
      <alignment horizontal="justify" vertical="center" wrapText="1"/>
    </xf>
    <xf numFmtId="0" fontId="36" fillId="0" borderId="6" xfId="0" applyNumberFormat="1" applyFont="1" applyBorder="1" applyAlignment="1" quotePrefix="1">
      <alignment horizontal="justify" vertical="center" wrapText="1"/>
    </xf>
    <xf numFmtId="0" fontId="36" fillId="0" borderId="7" xfId="0" applyNumberFormat="1" applyFont="1" applyBorder="1" applyAlignment="1" quotePrefix="1">
      <alignment horizontal="justify" vertical="center" wrapText="1"/>
    </xf>
    <xf numFmtId="0" fontId="39" fillId="6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wrapText="1"/>
    </xf>
    <xf numFmtId="0" fontId="2" fillId="0" borderId="0" xfId="0" applyFont="1" applyAlignment="1" quotePrefix="1">
      <alignment horizontal="left" vertical="center" wrapText="1" indent="2"/>
    </xf>
    <xf numFmtId="0" fontId="2" fillId="0" borderId="0" xfId="0" applyFont="1" applyAlignment="1">
      <alignment horizontal="left" vertical="center" wrapText="1" indent="1"/>
    </xf>
    <xf numFmtId="0" fontId="2" fillId="0" borderId="0" xfId="0" applyFont="1" applyAlignment="1">
      <alignment horizontal="left" vertical="center" wrapText="1"/>
    </xf>
    <xf numFmtId="4" fontId="1" fillId="0" borderId="32" xfId="0" applyNumberFormat="1" applyFont="1" applyFill="1" applyBorder="1" applyAlignment="1">
      <alignment horizontal="center" vertical="center" wrapText="1"/>
    </xf>
    <xf numFmtId="4" fontId="1" fillId="0" borderId="40" xfId="0" applyNumberFormat="1" applyFont="1" applyFill="1" applyBorder="1" applyAlignment="1">
      <alignment horizontal="center" vertical="center" wrapText="1"/>
    </xf>
    <xf numFmtId="4" fontId="1" fillId="0" borderId="30" xfId="0" applyNumberFormat="1" applyFont="1" applyFill="1" applyBorder="1" applyAlignment="1">
      <alignment horizontal="center" vertical="center" wrapText="1"/>
    </xf>
    <xf numFmtId="4" fontId="1" fillId="0" borderId="57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4" fontId="1" fillId="0" borderId="42" xfId="0" applyNumberFormat="1" applyFont="1" applyFill="1" applyBorder="1" applyAlignment="1">
      <alignment horizontal="center" vertical="center" wrapText="1"/>
    </xf>
    <xf numFmtId="170" fontId="1" fillId="0" borderId="30" xfId="0" applyNumberFormat="1" applyFont="1" applyFill="1" applyBorder="1" applyAlignment="1">
      <alignment horizontal="center" vertical="center" wrapText="1"/>
    </xf>
    <xf numFmtId="170" fontId="1" fillId="0" borderId="57" xfId="0" applyNumberFormat="1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4" fontId="1" fillId="0" borderId="30" xfId="0" applyNumberFormat="1" applyFont="1" applyBorder="1" applyAlignment="1">
      <alignment horizontal="center" vertical="center" wrapText="1"/>
    </xf>
    <xf numFmtId="4" fontId="1" fillId="0" borderId="57" xfId="0" applyNumberFormat="1" applyFont="1" applyBorder="1" applyAlignment="1">
      <alignment horizontal="center" vertical="center" wrapText="1"/>
    </xf>
    <xf numFmtId="0" fontId="2" fillId="0" borderId="33" xfId="0" applyFont="1" applyBorder="1" applyAlignment="1" quotePrefix="1">
      <alignment horizontal="left" vertical="center" wrapText="1"/>
    </xf>
    <xf numFmtId="0" fontId="2" fillId="0" borderId="58" xfId="0" applyFont="1" applyBorder="1" applyAlignment="1">
      <alignment horizontal="left" vertical="center" wrapText="1"/>
    </xf>
    <xf numFmtId="0" fontId="2" fillId="0" borderId="59" xfId="0" applyFont="1" applyBorder="1" applyAlignment="1">
      <alignment horizontal="left" vertical="center" wrapText="1"/>
    </xf>
    <xf numFmtId="0" fontId="2" fillId="0" borderId="2" xfId="0" applyFont="1" applyBorder="1" applyAlignment="1" quotePrefix="1">
      <alignment horizontal="left" vertical="center" wrapText="1"/>
    </xf>
    <xf numFmtId="0" fontId="2" fillId="0" borderId="6" xfId="0" applyFont="1" applyBorder="1" applyAlignment="1" quotePrefix="1">
      <alignment horizontal="left" vertical="center" wrapText="1"/>
    </xf>
    <xf numFmtId="0" fontId="2" fillId="0" borderId="7" xfId="0" applyFont="1" applyBorder="1" applyAlignment="1" quotePrefix="1">
      <alignment horizontal="left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2" fillId="0" borderId="21" xfId="0" applyFont="1" applyBorder="1" applyAlignment="1" quotePrefix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170" fontId="1" fillId="0" borderId="2" xfId="0" applyNumberFormat="1" applyFont="1" applyBorder="1" applyAlignment="1">
      <alignment horizontal="center" vertical="center" wrapText="1"/>
    </xf>
    <xf numFmtId="170" fontId="1" fillId="0" borderId="7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zBudzet%202007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Gosia\Moje%20dokumenty\Bud&#380;et\Budzet%202008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oje%20dokumenty%20-%20prv\prywatne\GOK\2008\bud&#380;et\KSI&#280;GA%20G&#321;-GOK-20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oje%20dokumenty\2008\bud&#380;et\Plan%20finansowy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zamotuły"/>
      <sheetName val="Rejestr weksli"/>
      <sheetName val="DOTACJE"/>
      <sheetName val="KREDYTY"/>
      <sheetName val="Autopoprawka 2007"/>
      <sheetName val="901"/>
      <sheetName val="902"/>
      <sheetName val="Zaangażowanie I"/>
      <sheetName val="Zaangażowanie II"/>
      <sheetName val="Harmonogram spłat"/>
      <sheetName val="D sierpień "/>
      <sheetName val="Zmiany D"/>
      <sheetName val="Dochody zał.Nr 1"/>
      <sheetName val="Zmiany W"/>
      <sheetName val="W sierpień"/>
      <sheetName val="Wydatki zał.Nr 2"/>
      <sheetName val="Deficyt"/>
      <sheetName val="Dotacje Zał.Nr 3"/>
      <sheetName val="PRZROZ zał.Nr4"/>
      <sheetName val="Prognoza długu do zał.Nr4"/>
      <sheetName val="DO zał.Nr5"/>
      <sheetName val="GFOŚ zał.Nr6"/>
      <sheetName val="ZUK plan zał.Nr 7"/>
      <sheetName val="Inwest.2006 zał.nr 8"/>
      <sheetName val="Inwestycje"/>
      <sheetName val="Arkusz4"/>
      <sheetName val="WPI zał.nr 9"/>
      <sheetName val="Doch.własnenr10"/>
      <sheetName val="Inwestycje projekt"/>
      <sheetName val="Plan finansowy WUW"/>
      <sheetName val="Zminay PRZROZ"/>
      <sheetName val="zmiany WPI"/>
      <sheetName val="Zmiany inwest"/>
      <sheetName val="Plan finansowy"/>
      <sheetName val="Środki specjalne"/>
      <sheetName val="WPI zał.nr 8 "/>
      <sheetName val="porównanie"/>
      <sheetName val="ZUK zmiany"/>
      <sheetName val="zestawienie"/>
      <sheetName val="Arkusz2"/>
      <sheetName val="Arkusz1"/>
      <sheetName val="BGK"/>
      <sheetName val="Dni Kaźmierza"/>
      <sheetName val="STYCZEŃ"/>
      <sheetName val="LUTY"/>
      <sheetName val="MARZEC"/>
      <sheetName val="KWIECIEŃ"/>
      <sheetName val="Roboczy"/>
      <sheetName val="MAJ"/>
      <sheetName val="CZERWIEC"/>
      <sheetName val="LIPIEC"/>
      <sheetName val="SIERPIEŃ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jestr weksli"/>
      <sheetName val="DOTACJE"/>
      <sheetName val="KREDYTY"/>
      <sheetName val="901"/>
      <sheetName val="902"/>
      <sheetName val="Zangażowanie I"/>
      <sheetName val="Zaangażowanie II"/>
      <sheetName val="Harmonogram spłat"/>
      <sheetName val="Zmiana D 05.03."/>
      <sheetName val="Zmiana D 22.04."/>
      <sheetName val="Zmiana D 27.06."/>
      <sheetName val="Zmiana D 25.07."/>
      <sheetName val="Zmiana D 29.09."/>
      <sheetName val="Dochody zał.Nr 1"/>
      <sheetName val="Zmiana W 05.03."/>
      <sheetName val="Zmiana W 22.04."/>
      <sheetName val="Zmiana W 27.06."/>
      <sheetName val="Zmiana W 25.07."/>
      <sheetName val="Zmiana W 29.09."/>
      <sheetName val="Wydatki zał.Nr 2"/>
      <sheetName val="Arkusz2"/>
      <sheetName val="Deficyt"/>
      <sheetName val="Dotacje Zał.Nr 3"/>
      <sheetName val="PRZROZ zał.Nr4"/>
      <sheetName val="Prognoza długu do zał.Nr4"/>
      <sheetName val="DO zał.Nr5"/>
      <sheetName val="GFOŚ zał.Nr6"/>
      <sheetName val="ZUK plan zał.Nr 7"/>
      <sheetName val="Inwestycje zał.nr 8"/>
      <sheetName val="WPI NI"/>
      <sheetName val="WPI zał.nr 9"/>
      <sheetName val="Doch.własnenr10"/>
      <sheetName val="Arkusz1"/>
      <sheetName val="Arkusz4"/>
      <sheetName val="Plan finansowy WUW"/>
      <sheetName val="porównanie"/>
      <sheetName val="zestawienie"/>
      <sheetName val="Roboczy"/>
      <sheetName val="Dni Kaźmierza"/>
      <sheetName val="STYCZEŃ"/>
      <sheetName val="LUTY"/>
      <sheetName val="MARZEC"/>
      <sheetName val="KWIECIEŃ"/>
      <sheetName val="MAJ"/>
      <sheetName val="CZERWIEC"/>
      <sheetName val="LIPIEC"/>
      <sheetName val="SIERPIEŃ"/>
      <sheetName val="WRZESIEŃ"/>
      <sheetName val="PAŹDZIERNIK"/>
      <sheetName val="LISTOPAD"/>
      <sheetName val="GRUDZIEŃ"/>
    </sheetNames>
    <sheetDataSet>
      <sheetData sheetId="13">
        <row r="126">
          <cell r="I126">
            <v>40000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S"/>
      <sheetName val="016"/>
      <sheetName val="071"/>
      <sheetName val="201-Z"/>
      <sheetName val="202-S"/>
      <sheetName val="221"/>
      <sheetName val="224"/>
      <sheetName val="227"/>
      <sheetName val="231"/>
      <sheetName val="234"/>
      <sheetName val="4"/>
      <sheetName val="240"/>
      <sheetName val="701"/>
      <sheetName val="702"/>
      <sheetName val="750-darow."/>
      <sheetName val="751 kty finans."/>
    </sheetNames>
    <sheetDataSet>
      <sheetData sheetId="0">
        <row r="81">
          <cell r="AN81">
            <v>2075</v>
          </cell>
          <cell r="AP81">
            <v>7870</v>
          </cell>
          <cell r="AR81">
            <v>44.23</v>
          </cell>
          <cell r="AV81">
            <v>128200</v>
          </cell>
        </row>
      </sheetData>
      <sheetData sheetId="1">
        <row r="6">
          <cell r="H6">
            <v>73318.75</v>
          </cell>
        </row>
        <row r="19">
          <cell r="H19">
            <v>89623.99</v>
          </cell>
        </row>
      </sheetData>
      <sheetData sheetId="10">
        <row r="245">
          <cell r="M245">
            <v>804.46</v>
          </cell>
          <cell r="O245">
            <v>663.26</v>
          </cell>
          <cell r="Q245">
            <v>366.9</v>
          </cell>
          <cell r="U245">
            <v>275.95</v>
          </cell>
          <cell r="W245">
            <v>1239.07</v>
          </cell>
          <cell r="Y245">
            <v>796.52</v>
          </cell>
          <cell r="AC245">
            <v>3875.48</v>
          </cell>
          <cell r="AG245">
            <v>17677.03</v>
          </cell>
          <cell r="AI245">
            <v>520.14</v>
          </cell>
          <cell r="AK245">
            <v>222</v>
          </cell>
          <cell r="AM245">
            <v>2878.08</v>
          </cell>
          <cell r="AO245">
            <v>593.32</v>
          </cell>
          <cell r="BI245">
            <v>970.48</v>
          </cell>
          <cell r="BK245">
            <v>100</v>
          </cell>
          <cell r="BM245">
            <v>149.91</v>
          </cell>
          <cell r="BO245">
            <v>1571.94</v>
          </cell>
          <cell r="BQ245">
            <v>113.28</v>
          </cell>
          <cell r="BS245">
            <v>499.96</v>
          </cell>
          <cell r="BU245">
            <v>1200</v>
          </cell>
          <cell r="BY245">
            <v>6820</v>
          </cell>
          <cell r="CA245">
            <v>1781.08</v>
          </cell>
          <cell r="CE245">
            <v>56652.22</v>
          </cell>
          <cell r="CG245">
            <v>1050</v>
          </cell>
          <cell r="CI245">
            <v>6401.4</v>
          </cell>
          <cell r="CK245">
            <v>3265</v>
          </cell>
          <cell r="CM245">
            <v>10574.44</v>
          </cell>
          <cell r="CW245">
            <v>2948.98</v>
          </cell>
          <cell r="CY245">
            <v>451.2</v>
          </cell>
          <cell r="DI245">
            <v>198.67</v>
          </cell>
          <cell r="DK245">
            <v>195.5</v>
          </cell>
          <cell r="DO245">
            <v>175.53</v>
          </cell>
          <cell r="DQ245">
            <v>1944.39</v>
          </cell>
          <cell r="DU245">
            <v>199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pisówka I półrocze"/>
      <sheetName val="Przychody"/>
      <sheetName val="Wydatki"/>
      <sheetName val="Plan finansowy"/>
      <sheetName val="należn.zob.I pół.08"/>
      <sheetName val="Arkusz1"/>
    </sheetNames>
    <sheetDataSet>
      <sheetData sheetId="1">
        <row r="4">
          <cell r="K4" t="str">
            <v>Zmiana nr 4 27.06.2008 r. </v>
          </cell>
        </row>
        <row r="40">
          <cell r="E40">
            <v>2546776</v>
          </cell>
          <cell r="F40">
            <v>-27150</v>
          </cell>
          <cell r="G40">
            <v>2519626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65"/>
  <sheetViews>
    <sheetView zoomScale="150" zoomScaleNormal="150" workbookViewId="0" topLeftCell="A28">
      <selection activeCell="D48" sqref="D48"/>
    </sheetView>
  </sheetViews>
  <sheetFormatPr defaultColWidth="9.140625" defaultRowHeight="12.75"/>
  <cols>
    <col min="1" max="1" width="10.7109375" style="266" customWidth="1"/>
    <col min="2" max="2" width="51.00390625" style="266" customWidth="1"/>
    <col min="3" max="3" width="20.421875" style="266" customWidth="1"/>
    <col min="4" max="4" width="11.140625" style="266" customWidth="1"/>
    <col min="5" max="5" width="8.8515625" style="266" customWidth="1"/>
    <col min="6" max="6" width="5.8515625" style="266" customWidth="1"/>
    <col min="7" max="7" width="5.7109375" style="266" customWidth="1"/>
    <col min="8" max="16384" width="9.140625" style="266" customWidth="1"/>
  </cols>
  <sheetData>
    <row r="1" spans="1:7" ht="20.25">
      <c r="A1" s="783" t="s">
        <v>990</v>
      </c>
      <c r="B1" s="783"/>
      <c r="C1" s="783"/>
      <c r="D1" s="783"/>
      <c r="E1" s="783"/>
      <c r="F1" s="783"/>
      <c r="G1" s="783"/>
    </row>
    <row r="2" spans="1:7" ht="20.25">
      <c r="A2" s="783" t="s">
        <v>991</v>
      </c>
      <c r="B2" s="783"/>
      <c r="C2" s="783"/>
      <c r="D2" s="783"/>
      <c r="E2" s="783"/>
      <c r="F2" s="783"/>
      <c r="G2" s="783"/>
    </row>
    <row r="3" spans="1:7" ht="20.25">
      <c r="A3" s="783" t="s">
        <v>1011</v>
      </c>
      <c r="B3" s="783"/>
      <c r="C3" s="783"/>
      <c r="D3" s="783"/>
      <c r="E3" s="783"/>
      <c r="F3" s="783"/>
      <c r="G3" s="783"/>
    </row>
    <row r="4" spans="1:7" ht="15.75">
      <c r="A4" s="13"/>
      <c r="B4" s="401"/>
      <c r="C4" s="401"/>
      <c r="D4" s="18"/>
      <c r="E4" s="18"/>
      <c r="F4" s="18"/>
      <c r="G4" s="18"/>
    </row>
    <row r="5" spans="1:7" s="405" customFormat="1" ht="15.75">
      <c r="A5" s="13" t="s">
        <v>1012</v>
      </c>
      <c r="B5" s="14"/>
      <c r="C5" s="14"/>
      <c r="D5" s="95"/>
      <c r="E5" s="95"/>
      <c r="F5" s="95"/>
      <c r="G5" s="95"/>
    </row>
    <row r="6" spans="1:7" s="405" customFormat="1" ht="15.75">
      <c r="A6" s="14" t="s">
        <v>1159</v>
      </c>
      <c r="B6" s="14"/>
      <c r="C6" s="14"/>
      <c r="D6" s="95"/>
      <c r="E6" s="95"/>
      <c r="F6" s="95"/>
      <c r="G6" s="95"/>
    </row>
    <row r="7" spans="1:7" s="405" customFormat="1" ht="15.75">
      <c r="A7" s="15" t="s">
        <v>1015</v>
      </c>
      <c r="B7" s="14"/>
      <c r="C7" s="14"/>
      <c r="D7" s="95"/>
      <c r="E7" s="95"/>
      <c r="F7" s="95"/>
      <c r="G7" s="95"/>
    </row>
    <row r="8" spans="1:7" s="405" customFormat="1" ht="15.75">
      <c r="A8" s="403" t="s">
        <v>453</v>
      </c>
      <c r="B8" s="14" t="s">
        <v>1013</v>
      </c>
      <c r="C8" s="413">
        <v>15369582</v>
      </c>
      <c r="D8" s="95"/>
      <c r="E8" s="95"/>
      <c r="F8" s="95"/>
      <c r="G8" s="95"/>
    </row>
    <row r="9" spans="1:7" s="405" customFormat="1" ht="15.75">
      <c r="A9" s="15"/>
      <c r="B9" s="14" t="s">
        <v>1014</v>
      </c>
      <c r="C9" s="413">
        <v>912500</v>
      </c>
      <c r="D9" s="95"/>
      <c r="E9" s="95"/>
      <c r="F9" s="95"/>
      <c r="G9" s="95"/>
    </row>
    <row r="10" spans="1:7" s="405" customFormat="1" ht="15.75">
      <c r="A10" s="15" t="s">
        <v>1016</v>
      </c>
      <c r="B10" s="14"/>
      <c r="C10" s="14"/>
      <c r="D10" s="95"/>
      <c r="E10" s="95"/>
      <c r="F10" s="95"/>
      <c r="G10" s="95"/>
    </row>
    <row r="11" spans="1:7" s="405" customFormat="1" ht="15.75">
      <c r="A11" s="403" t="s">
        <v>453</v>
      </c>
      <c r="B11" s="13" t="s">
        <v>1027</v>
      </c>
      <c r="C11" s="393">
        <v>14295579</v>
      </c>
      <c r="D11" s="95"/>
      <c r="E11" s="95"/>
      <c r="F11" s="95"/>
      <c r="G11" s="95"/>
    </row>
    <row r="12" spans="1:7" s="405" customFormat="1" ht="15.75">
      <c r="A12" s="15"/>
      <c r="B12" s="14" t="s">
        <v>1028</v>
      </c>
      <c r="C12" s="411">
        <v>6879887</v>
      </c>
      <c r="D12" s="95"/>
      <c r="E12" s="95"/>
      <c r="F12" s="95"/>
      <c r="G12" s="95"/>
    </row>
    <row r="13" spans="1:7" s="405" customFormat="1" ht="15.75">
      <c r="A13" s="15"/>
      <c r="B13" s="14" t="s">
        <v>1029</v>
      </c>
      <c r="C13" s="412">
        <v>1101830</v>
      </c>
      <c r="D13" s="95"/>
      <c r="E13" s="95"/>
      <c r="F13" s="95"/>
      <c r="G13" s="95"/>
    </row>
    <row r="14" spans="1:7" s="405" customFormat="1" ht="15.75">
      <c r="A14" s="408"/>
      <c r="B14" s="409" t="s">
        <v>1030</v>
      </c>
      <c r="C14" s="404">
        <v>483200</v>
      </c>
      <c r="D14" s="95"/>
      <c r="E14" s="95"/>
      <c r="F14" s="95"/>
      <c r="G14" s="95"/>
    </row>
    <row r="15" spans="1:7" s="405" customFormat="1" ht="15.75">
      <c r="A15" s="410"/>
      <c r="B15" s="409" t="s">
        <v>1031</v>
      </c>
      <c r="C15" s="404">
        <v>234000</v>
      </c>
      <c r="D15" s="95"/>
      <c r="E15" s="95"/>
      <c r="F15" s="95"/>
      <c r="G15" s="95"/>
    </row>
    <row r="16" spans="1:7" s="405" customFormat="1" ht="15.75">
      <c r="A16" s="410"/>
      <c r="B16" s="409" t="s">
        <v>1032</v>
      </c>
      <c r="C16" s="404">
        <v>41700</v>
      </c>
      <c r="D16" s="95"/>
      <c r="E16" s="95"/>
      <c r="F16" s="95"/>
      <c r="G16" s="95"/>
    </row>
    <row r="17" spans="1:7" s="405" customFormat="1" ht="15.75">
      <c r="A17" s="15"/>
      <c r="B17" s="14" t="s">
        <v>1033</v>
      </c>
      <c r="C17" s="414">
        <v>143537</v>
      </c>
      <c r="D17" s="95"/>
      <c r="E17" s="95"/>
      <c r="F17" s="95"/>
      <c r="G17" s="95"/>
    </row>
    <row r="18" spans="1:7" s="405" customFormat="1" ht="15.75">
      <c r="A18" s="15"/>
      <c r="B18" s="13" t="s">
        <v>1034</v>
      </c>
      <c r="C18" s="415">
        <v>1850005</v>
      </c>
      <c r="D18" s="95"/>
      <c r="E18" s="95"/>
      <c r="F18" s="95"/>
      <c r="G18" s="95"/>
    </row>
    <row r="19" spans="1:7" s="405" customFormat="1" ht="15.75">
      <c r="A19" s="15" t="s">
        <v>1017</v>
      </c>
      <c r="B19" s="14"/>
      <c r="C19" s="14"/>
      <c r="D19" s="95"/>
      <c r="E19" s="95"/>
      <c r="F19" s="95"/>
      <c r="G19" s="95"/>
    </row>
    <row r="20" spans="1:7" s="405" customFormat="1" ht="15.75">
      <c r="A20" s="15" t="s">
        <v>1018</v>
      </c>
      <c r="B20" s="14"/>
      <c r="C20" s="14"/>
      <c r="D20" s="95"/>
      <c r="E20" s="95"/>
      <c r="F20" s="95"/>
      <c r="G20" s="95"/>
    </row>
    <row r="21" spans="1:7" s="405" customFormat="1" ht="15.75">
      <c r="A21" s="13"/>
      <c r="B21" s="14"/>
      <c r="C21" s="14"/>
      <c r="D21" s="95"/>
      <c r="E21" s="95"/>
      <c r="F21" s="95"/>
      <c r="G21" s="95"/>
    </row>
    <row r="22" spans="1:7" s="405" customFormat="1" ht="30.75" customHeight="1">
      <c r="A22" s="784" t="s">
        <v>1160</v>
      </c>
      <c r="B22" s="784"/>
      <c r="C22" s="784"/>
      <c r="D22" s="784"/>
      <c r="E22" s="784"/>
      <c r="F22" s="784"/>
      <c r="G22" s="784"/>
    </row>
    <row r="23" spans="1:7" s="405" customFormat="1" ht="15.75">
      <c r="A23" s="14" t="s">
        <v>1019</v>
      </c>
      <c r="B23" s="14"/>
      <c r="C23" s="393">
        <v>1283431</v>
      </c>
      <c r="D23" s="95"/>
      <c r="E23" s="95"/>
      <c r="F23" s="95"/>
      <c r="G23" s="95"/>
    </row>
    <row r="24" spans="1:7" s="405" customFormat="1" ht="15.75">
      <c r="A24" s="14" t="s">
        <v>1020</v>
      </c>
      <c r="B24" s="14"/>
      <c r="C24" s="393">
        <v>3786254</v>
      </c>
      <c r="D24" s="95"/>
      <c r="E24" s="95"/>
      <c r="F24" s="95"/>
      <c r="G24" s="95"/>
    </row>
    <row r="25" spans="1:7" s="405" customFormat="1" ht="15.75">
      <c r="A25" s="14" t="s">
        <v>1021</v>
      </c>
      <c r="B25" s="14"/>
      <c r="C25" s="393">
        <v>2502823</v>
      </c>
      <c r="D25" s="95"/>
      <c r="E25" s="95"/>
      <c r="F25" s="95"/>
      <c r="G25" s="95"/>
    </row>
    <row r="26" spans="1:7" s="405" customFormat="1" ht="15.75" hidden="1">
      <c r="A26" s="14" t="s">
        <v>1022</v>
      </c>
      <c r="B26" s="14"/>
      <c r="C26" s="417">
        <v>0</v>
      </c>
      <c r="D26" s="95"/>
      <c r="E26" s="95"/>
      <c r="F26" s="95"/>
      <c r="G26" s="95"/>
    </row>
    <row r="27" spans="1:7" s="405" customFormat="1" ht="15.75">
      <c r="A27" s="14"/>
      <c r="B27" s="14"/>
      <c r="C27" s="14"/>
      <c r="D27" s="95"/>
      <c r="E27" s="95"/>
      <c r="F27" s="95"/>
      <c r="G27" s="95"/>
    </row>
    <row r="28" spans="1:7" s="405" customFormat="1" ht="15.75">
      <c r="A28" s="14" t="s">
        <v>1161</v>
      </c>
      <c r="B28" s="14"/>
      <c r="C28" s="14"/>
      <c r="D28" s="95"/>
      <c r="E28" s="95"/>
      <c r="F28" s="95"/>
      <c r="G28" s="95"/>
    </row>
    <row r="29" spans="1:7" s="405" customFormat="1" ht="15.75">
      <c r="A29" s="14" t="s">
        <v>1023</v>
      </c>
      <c r="B29" s="14"/>
      <c r="C29" s="416">
        <v>17565513</v>
      </c>
      <c r="D29" s="95" t="s">
        <v>1166</v>
      </c>
      <c r="E29" s="95"/>
      <c r="F29" s="95"/>
      <c r="G29" s="95"/>
    </row>
    <row r="30" spans="1:7" s="405" customFormat="1" ht="15.75">
      <c r="A30" s="403" t="s">
        <v>453</v>
      </c>
      <c r="B30" s="422" t="s">
        <v>454</v>
      </c>
      <c r="C30" s="406">
        <v>16543013</v>
      </c>
      <c r="D30" s="95"/>
      <c r="E30" s="95"/>
      <c r="F30" s="95"/>
      <c r="G30" s="95"/>
    </row>
    <row r="31" spans="1:7" s="405" customFormat="1" ht="15.75">
      <c r="A31" s="15"/>
      <c r="B31" s="422" t="s">
        <v>455</v>
      </c>
      <c r="C31" s="406">
        <v>1022500</v>
      </c>
      <c r="D31" s="95"/>
      <c r="E31" s="95"/>
      <c r="F31" s="95"/>
      <c r="G31" s="95"/>
    </row>
    <row r="32" spans="1:7" s="405" customFormat="1" ht="15.75">
      <c r="A32" s="14" t="s">
        <v>1024</v>
      </c>
      <c r="B32" s="14"/>
      <c r="C32" s="415">
        <v>19931838</v>
      </c>
      <c r="D32" s="95" t="s">
        <v>1167</v>
      </c>
      <c r="E32" s="95"/>
      <c r="F32" s="95"/>
      <c r="G32" s="95"/>
    </row>
    <row r="33" spans="1:7" s="405" customFormat="1" ht="15.75">
      <c r="A33" s="403" t="s">
        <v>453</v>
      </c>
      <c r="B33" s="16" t="s">
        <v>283</v>
      </c>
      <c r="C33" s="415">
        <v>15839280</v>
      </c>
      <c r="D33" s="95"/>
      <c r="E33" s="95"/>
      <c r="F33" s="95"/>
      <c r="G33" s="95"/>
    </row>
    <row r="34" spans="1:7" s="405" customFormat="1" ht="15.75">
      <c r="A34" s="403"/>
      <c r="B34" s="17" t="s">
        <v>284</v>
      </c>
      <c r="C34" s="415"/>
      <c r="D34" s="95"/>
      <c r="E34" s="95"/>
      <c r="F34" s="95"/>
      <c r="G34" s="95"/>
    </row>
    <row r="35" spans="1:7" s="405" customFormat="1" ht="15.75">
      <c r="A35" s="15"/>
      <c r="B35" s="14" t="s">
        <v>1028</v>
      </c>
      <c r="C35" s="414">
        <v>7362737</v>
      </c>
      <c r="D35" s="95"/>
      <c r="E35" s="95"/>
      <c r="F35" s="95"/>
      <c r="G35" s="95"/>
    </row>
    <row r="36" spans="1:7" s="405" customFormat="1" ht="15.75">
      <c r="A36" s="15"/>
      <c r="B36" s="14" t="s">
        <v>1029</v>
      </c>
      <c r="C36" s="414">
        <v>1326420</v>
      </c>
      <c r="D36" s="95"/>
      <c r="E36" s="95"/>
      <c r="F36" s="95"/>
      <c r="G36" s="95"/>
    </row>
    <row r="37" spans="1:7" s="405" customFormat="1" ht="15.75">
      <c r="A37" s="408"/>
      <c r="B37" s="409" t="s">
        <v>1030</v>
      </c>
      <c r="C37" s="413">
        <v>518200</v>
      </c>
      <c r="D37" s="95"/>
      <c r="E37" s="95"/>
      <c r="F37" s="95"/>
      <c r="G37" s="95"/>
    </row>
    <row r="38" spans="1:7" s="405" customFormat="1" ht="15.75">
      <c r="A38" s="410"/>
      <c r="B38" s="409" t="s">
        <v>1031</v>
      </c>
      <c r="C38" s="413">
        <v>192600</v>
      </c>
      <c r="D38" s="95"/>
      <c r="E38" s="95"/>
      <c r="F38" s="95"/>
      <c r="G38" s="95"/>
    </row>
    <row r="39" spans="1:7" s="405" customFormat="1" ht="15.75">
      <c r="A39" s="410"/>
      <c r="B39" s="409" t="s">
        <v>1032</v>
      </c>
      <c r="C39" s="413">
        <v>39000</v>
      </c>
      <c r="D39" s="95"/>
      <c r="E39" s="95"/>
      <c r="F39" s="95"/>
      <c r="G39" s="95"/>
    </row>
    <row r="40" spans="1:7" s="405" customFormat="1" ht="15.75">
      <c r="A40" s="15"/>
      <c r="B40" s="14" t="s">
        <v>800</v>
      </c>
      <c r="C40" s="414">
        <v>143537</v>
      </c>
      <c r="D40" s="95"/>
      <c r="E40" s="95"/>
      <c r="F40" s="95"/>
      <c r="G40" s="95"/>
    </row>
    <row r="41" spans="1:7" s="405" customFormat="1" ht="15.75">
      <c r="A41" s="15"/>
      <c r="B41" s="16" t="s">
        <v>285</v>
      </c>
      <c r="C41" s="415">
        <v>4092558</v>
      </c>
      <c r="D41" s="95"/>
      <c r="E41" s="95"/>
      <c r="F41" s="95"/>
      <c r="G41" s="95"/>
    </row>
    <row r="42" spans="1:7" s="405" customFormat="1" ht="15.75">
      <c r="A42" s="14" t="s">
        <v>1025</v>
      </c>
      <c r="B42" s="14"/>
      <c r="C42" s="415">
        <v>2752823</v>
      </c>
      <c r="D42" s="95" t="s">
        <v>1168</v>
      </c>
      <c r="E42" s="95"/>
      <c r="F42" s="95"/>
      <c r="G42" s="95"/>
    </row>
    <row r="43" spans="1:7" s="405" customFormat="1" ht="15.75">
      <c r="A43" s="14" t="s">
        <v>1026</v>
      </c>
      <c r="B43" s="14"/>
      <c r="C43" s="415">
        <v>386498</v>
      </c>
      <c r="D43" s="95" t="s">
        <v>1168</v>
      </c>
      <c r="E43" s="95"/>
      <c r="F43" s="95"/>
      <c r="G43" s="95"/>
    </row>
    <row r="44" spans="1:7" s="405" customFormat="1" ht="15.75">
      <c r="A44" s="13"/>
      <c r="B44" s="14"/>
      <c r="C44" s="14"/>
      <c r="D44" s="95"/>
      <c r="E44" s="95"/>
      <c r="F44" s="95"/>
      <c r="G44" s="95"/>
    </row>
    <row r="45" spans="1:7" s="405" customFormat="1" ht="15.75">
      <c r="A45" s="784" t="s">
        <v>1144</v>
      </c>
      <c r="B45" s="784"/>
      <c r="C45" s="13" t="s">
        <v>1145</v>
      </c>
      <c r="D45" s="95"/>
      <c r="E45" s="95"/>
      <c r="F45" s="95"/>
      <c r="G45" s="95"/>
    </row>
    <row r="46" spans="1:7" s="405" customFormat="1" ht="15.75">
      <c r="A46" s="17" t="s">
        <v>453</v>
      </c>
      <c r="B46" s="422" t="s">
        <v>454</v>
      </c>
      <c r="C46" s="14" t="s">
        <v>1148</v>
      </c>
      <c r="D46" s="95"/>
      <c r="E46" s="95"/>
      <c r="F46" s="95"/>
      <c r="G46" s="95"/>
    </row>
    <row r="47" spans="1:7" s="405" customFormat="1" ht="15.75">
      <c r="A47" s="17"/>
      <c r="B47" s="422" t="s">
        <v>455</v>
      </c>
      <c r="C47" s="14" t="s">
        <v>1149</v>
      </c>
      <c r="D47" s="95"/>
      <c r="E47" s="95"/>
      <c r="F47" s="95"/>
      <c r="G47" s="95"/>
    </row>
    <row r="48" spans="1:7" s="405" customFormat="1" ht="15.75">
      <c r="A48" s="784" t="s">
        <v>1146</v>
      </c>
      <c r="B48" s="784"/>
      <c r="C48" s="13" t="s">
        <v>1147</v>
      </c>
      <c r="D48" s="95"/>
      <c r="E48" s="95"/>
      <c r="F48" s="95"/>
      <c r="G48" s="95"/>
    </row>
    <row r="49" spans="1:7" s="420" customFormat="1" ht="15.75">
      <c r="A49" s="17" t="s">
        <v>453</v>
      </c>
      <c r="B49" s="16" t="s">
        <v>283</v>
      </c>
      <c r="C49" s="786" t="s">
        <v>1150</v>
      </c>
      <c r="D49" s="786"/>
      <c r="E49" s="419"/>
      <c r="F49" s="419"/>
      <c r="G49" s="419"/>
    </row>
    <row r="50" spans="1:7" s="405" customFormat="1" ht="15.75">
      <c r="A50" s="17"/>
      <c r="B50" s="17" t="s">
        <v>284</v>
      </c>
      <c r="C50" s="14"/>
      <c r="D50" s="14"/>
      <c r="E50" s="95"/>
      <c r="F50" s="95"/>
      <c r="G50" s="95"/>
    </row>
    <row r="51" spans="1:7" s="405" customFormat="1" ht="15.75">
      <c r="A51" s="16"/>
      <c r="B51" s="14" t="s">
        <v>1028</v>
      </c>
      <c r="C51" s="95" t="s">
        <v>812</v>
      </c>
      <c r="D51" s="95"/>
      <c r="E51" s="95"/>
      <c r="F51" s="95"/>
      <c r="G51" s="95"/>
    </row>
    <row r="52" spans="1:7" s="405" customFormat="1" ht="15.75">
      <c r="A52" s="16"/>
      <c r="B52" s="14" t="s">
        <v>1029</v>
      </c>
      <c r="C52" s="95" t="s">
        <v>780</v>
      </c>
      <c r="D52" s="95"/>
      <c r="E52" s="95"/>
      <c r="F52" s="95"/>
      <c r="G52" s="95"/>
    </row>
    <row r="53" spans="1:7" s="405" customFormat="1" ht="15.75">
      <c r="A53" s="16"/>
      <c r="B53" s="409" t="s">
        <v>1030</v>
      </c>
      <c r="C53" s="500" t="s">
        <v>1151</v>
      </c>
      <c r="D53" s="14"/>
      <c r="E53" s="95"/>
      <c r="F53" s="95"/>
      <c r="G53" s="95"/>
    </row>
    <row r="54" spans="1:7" s="420" customFormat="1" ht="15.75">
      <c r="A54" s="418"/>
      <c r="B54" s="409" t="s">
        <v>1031</v>
      </c>
      <c r="C54" s="500" t="s">
        <v>1152</v>
      </c>
      <c r="D54" s="407"/>
      <c r="E54" s="419"/>
      <c r="F54" s="419"/>
      <c r="G54" s="419"/>
    </row>
    <row r="55" spans="1:7" s="420" customFormat="1" ht="15.75">
      <c r="A55" s="418"/>
      <c r="B55" s="409" t="s">
        <v>1032</v>
      </c>
      <c r="C55" s="500" t="s">
        <v>1153</v>
      </c>
      <c r="D55" s="407"/>
      <c r="E55" s="419"/>
      <c r="F55" s="419"/>
      <c r="G55" s="419"/>
    </row>
    <row r="56" spans="1:7" s="405" customFormat="1" ht="15.75">
      <c r="A56" s="16"/>
      <c r="B56" s="14" t="s">
        <v>800</v>
      </c>
      <c r="C56" s="95" t="s">
        <v>1154</v>
      </c>
      <c r="D56" s="95"/>
      <c r="E56" s="95"/>
      <c r="F56" s="95"/>
      <c r="G56" s="95"/>
    </row>
    <row r="57" spans="1:7" s="405" customFormat="1" ht="15.75">
      <c r="A57" s="16"/>
      <c r="B57" s="16" t="s">
        <v>285</v>
      </c>
      <c r="C57" s="14" t="s">
        <v>837</v>
      </c>
      <c r="D57" s="95"/>
      <c r="E57" s="95"/>
      <c r="F57" s="95"/>
      <c r="G57" s="95"/>
    </row>
    <row r="58" spans="1:7" s="405" customFormat="1" ht="15.75">
      <c r="A58" s="13" t="s">
        <v>809</v>
      </c>
      <c r="B58" s="14"/>
      <c r="C58" s="14"/>
      <c r="D58" s="95"/>
      <c r="E58" s="95"/>
      <c r="F58" s="95"/>
      <c r="G58" s="95"/>
    </row>
    <row r="59" spans="1:7" s="405" customFormat="1" ht="15.75">
      <c r="A59" s="14"/>
      <c r="B59" s="14" t="s">
        <v>810</v>
      </c>
      <c r="C59" s="14"/>
      <c r="D59" s="95"/>
      <c r="E59" s="95"/>
      <c r="F59" s="95"/>
      <c r="G59" s="95"/>
    </row>
    <row r="60" spans="1:7" s="405" customFormat="1" ht="15.75">
      <c r="A60" s="14"/>
      <c r="B60" s="14" t="s">
        <v>811</v>
      </c>
      <c r="C60" s="14"/>
      <c r="D60" s="95"/>
      <c r="E60" s="95"/>
      <c r="F60" s="95"/>
      <c r="G60" s="95"/>
    </row>
    <row r="61" spans="1:7" s="405" customFormat="1" ht="37.5" customHeight="1">
      <c r="A61" s="784" t="s">
        <v>1162</v>
      </c>
      <c r="B61" s="784"/>
      <c r="C61" s="784"/>
      <c r="D61" s="784"/>
      <c r="E61" s="784"/>
      <c r="F61" s="784"/>
      <c r="G61" s="784"/>
    </row>
    <row r="62" spans="1:7" s="405" customFormat="1" ht="37.5" customHeight="1">
      <c r="A62" s="784" t="s">
        <v>1045</v>
      </c>
      <c r="B62" s="784"/>
      <c r="C62" s="784"/>
      <c r="D62" s="784"/>
      <c r="E62" s="784"/>
      <c r="F62" s="784"/>
      <c r="G62" s="784"/>
    </row>
    <row r="63" spans="1:7" s="405" customFormat="1" ht="18.75" customHeight="1">
      <c r="A63" s="13" t="s">
        <v>1163</v>
      </c>
      <c r="B63" s="14"/>
      <c r="C63" s="14"/>
      <c r="D63" s="95"/>
      <c r="E63" s="95"/>
      <c r="F63" s="95"/>
      <c r="G63" s="95"/>
    </row>
    <row r="64" spans="1:7" s="405" customFormat="1" ht="33" customHeight="1">
      <c r="A64" s="784" t="s">
        <v>1164</v>
      </c>
      <c r="B64" s="785"/>
      <c r="C64" s="785"/>
      <c r="D64" s="785"/>
      <c r="E64" s="785"/>
      <c r="F64" s="785"/>
      <c r="G64" s="785"/>
    </row>
    <row r="65" spans="1:7" s="405" customFormat="1" ht="36" customHeight="1">
      <c r="A65" s="784" t="s">
        <v>1165</v>
      </c>
      <c r="B65" s="785"/>
      <c r="C65" s="785"/>
      <c r="D65" s="785"/>
      <c r="E65" s="785"/>
      <c r="F65" s="785"/>
      <c r="G65" s="785"/>
    </row>
    <row r="66" s="405" customFormat="1" ht="15.75"/>
    <row r="67" s="405" customFormat="1" ht="15.75"/>
    <row r="68" s="405" customFormat="1" ht="15.75"/>
    <row r="69" s="405" customFormat="1" ht="15.75"/>
    <row r="70" s="405" customFormat="1" ht="15.75"/>
    <row r="71" s="405" customFormat="1" ht="15.75"/>
    <row r="72" s="405" customFormat="1" ht="15.75"/>
    <row r="73" s="405" customFormat="1" ht="15.75"/>
    <row r="74" s="405" customFormat="1" ht="15.75"/>
    <row r="75" s="405" customFormat="1" ht="15.75"/>
    <row r="76" s="405" customFormat="1" ht="15.75"/>
    <row r="77" s="405" customFormat="1" ht="15.75"/>
    <row r="78" s="405" customFormat="1" ht="15.75"/>
    <row r="79" s="405" customFormat="1" ht="15.75"/>
    <row r="80" s="405" customFormat="1" ht="15.75"/>
    <row r="81" s="405" customFormat="1" ht="15.75"/>
    <row r="82" s="405" customFormat="1" ht="15.75"/>
    <row r="83" s="405" customFormat="1" ht="15.75"/>
    <row r="84" s="405" customFormat="1" ht="15.75"/>
    <row r="85" s="405" customFormat="1" ht="15.75"/>
  </sheetData>
  <mergeCells count="11">
    <mergeCell ref="A64:G64"/>
    <mergeCell ref="A65:G65"/>
    <mergeCell ref="A45:B45"/>
    <mergeCell ref="A48:B48"/>
    <mergeCell ref="A61:G61"/>
    <mergeCell ref="A62:G62"/>
    <mergeCell ref="C49:D49"/>
    <mergeCell ref="A1:G1"/>
    <mergeCell ref="A2:G2"/>
    <mergeCell ref="A3:G3"/>
    <mergeCell ref="A22:G22"/>
  </mergeCells>
  <printOptions/>
  <pageMargins left="0.37" right="0.42" top="0.51" bottom="0.17" header="0.5" footer="0.17"/>
  <pageSetup fitToHeight="1" fitToWidth="1" horizontalDpi="600" verticalDpi="600" orientation="portrait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42"/>
  <sheetViews>
    <sheetView workbookViewId="0" topLeftCell="A1">
      <selection activeCell="B24" sqref="B24:K24"/>
    </sheetView>
  </sheetViews>
  <sheetFormatPr defaultColWidth="9.140625" defaultRowHeight="12.75"/>
  <cols>
    <col min="1" max="1" width="9.140625" style="370" customWidth="1"/>
    <col min="2" max="2" width="11.57421875" style="370" customWidth="1"/>
    <col min="3" max="3" width="13.8515625" style="370" customWidth="1"/>
    <col min="4" max="4" width="13.140625" style="370" customWidth="1"/>
    <col min="5" max="5" width="12.140625" style="370" customWidth="1"/>
    <col min="6" max="6" width="12.8515625" style="370" customWidth="1"/>
    <col min="7" max="7" width="9.7109375" style="370" customWidth="1"/>
    <col min="8" max="8" width="15.421875" style="370" customWidth="1"/>
    <col min="9" max="9" width="8.421875" style="370" customWidth="1"/>
    <col min="10" max="10" width="7.421875" style="370" customWidth="1"/>
    <col min="11" max="11" width="7.140625" style="370" customWidth="1"/>
    <col min="12" max="16384" width="9.140625" style="370" customWidth="1"/>
  </cols>
  <sheetData>
    <row r="2" spans="1:11" ht="18.75">
      <c r="A2" s="369"/>
      <c r="B2" s="847" t="s">
        <v>774</v>
      </c>
      <c r="C2" s="847"/>
      <c r="D2" s="847"/>
      <c r="E2" s="847"/>
      <c r="F2" s="847"/>
      <c r="G2" s="847"/>
      <c r="H2" s="847"/>
      <c r="I2" s="847"/>
      <c r="J2" s="847"/>
      <c r="K2" s="847"/>
    </row>
    <row r="3" ht="18.75">
      <c r="B3" s="371"/>
    </row>
    <row r="4" spans="2:11" s="264" customFormat="1" ht="61.5" customHeight="1">
      <c r="B4" s="846" t="s">
        <v>776</v>
      </c>
      <c r="C4" s="846"/>
      <c r="D4" s="846"/>
      <c r="E4" s="846"/>
      <c r="F4" s="846"/>
      <c r="G4" s="846"/>
      <c r="H4" s="846"/>
      <c r="I4" s="846"/>
      <c r="J4" s="846"/>
      <c r="K4" s="846"/>
    </row>
    <row r="5" spans="2:11" s="264" customFormat="1" ht="18.75">
      <c r="B5" s="846" t="s">
        <v>777</v>
      </c>
      <c r="C5" s="846"/>
      <c r="D5" s="846"/>
      <c r="E5" s="846"/>
      <c r="F5" s="846"/>
      <c r="G5" s="846"/>
      <c r="H5" s="846"/>
      <c r="I5" s="846"/>
      <c r="J5" s="846"/>
      <c r="K5" s="846"/>
    </row>
    <row r="6" spans="2:11" s="264" customFormat="1" ht="18.75">
      <c r="B6" s="846" t="s">
        <v>1126</v>
      </c>
      <c r="C6" s="846"/>
      <c r="D6" s="846"/>
      <c r="E6" s="846"/>
      <c r="F6" s="846"/>
      <c r="G6" s="846"/>
      <c r="H6" s="846"/>
      <c r="I6" s="846"/>
      <c r="J6" s="846"/>
      <c r="K6" s="846"/>
    </row>
    <row r="7" spans="2:11" s="264" customFormat="1" ht="18.75">
      <c r="B7" s="846" t="s">
        <v>1127</v>
      </c>
      <c r="C7" s="846"/>
      <c r="D7" s="846"/>
      <c r="E7" s="846"/>
      <c r="F7" s="846"/>
      <c r="G7" s="846"/>
      <c r="H7" s="846"/>
      <c r="I7" s="846"/>
      <c r="J7" s="846"/>
      <c r="K7" s="846"/>
    </row>
    <row r="8" spans="2:11" s="264" customFormat="1" ht="18.75">
      <c r="B8" s="846" t="s">
        <v>1128</v>
      </c>
      <c r="C8" s="846"/>
      <c r="D8" s="846"/>
      <c r="E8" s="846"/>
      <c r="F8" s="846"/>
      <c r="G8" s="846"/>
      <c r="H8" s="846"/>
      <c r="I8" s="846"/>
      <c r="J8" s="846"/>
      <c r="K8" s="846"/>
    </row>
    <row r="9" spans="2:11" s="264" customFormat="1" ht="18.75">
      <c r="B9" s="846" t="s">
        <v>1129</v>
      </c>
      <c r="C9" s="846"/>
      <c r="D9" s="846"/>
      <c r="E9" s="846"/>
      <c r="F9" s="846"/>
      <c r="G9" s="846"/>
      <c r="H9" s="846"/>
      <c r="I9" s="846"/>
      <c r="J9" s="846"/>
      <c r="K9" s="846"/>
    </row>
    <row r="10" spans="2:11" s="264" customFormat="1" ht="18.75">
      <c r="B10" s="846" t="s">
        <v>1130</v>
      </c>
      <c r="C10" s="846"/>
      <c r="D10" s="846"/>
      <c r="E10" s="846"/>
      <c r="F10" s="846"/>
      <c r="G10" s="846"/>
      <c r="H10" s="846"/>
      <c r="I10" s="846"/>
      <c r="J10" s="846"/>
      <c r="K10" s="846"/>
    </row>
    <row r="11" spans="2:11" s="264" customFormat="1" ht="18.75">
      <c r="B11" s="846" t="s">
        <v>1131</v>
      </c>
      <c r="C11" s="846"/>
      <c r="D11" s="846"/>
      <c r="E11" s="846"/>
      <c r="F11" s="846"/>
      <c r="G11" s="846"/>
      <c r="H11" s="846"/>
      <c r="I11" s="846"/>
      <c r="J11" s="846"/>
      <c r="K11" s="846"/>
    </row>
    <row r="12" spans="2:11" s="264" customFormat="1" ht="21" customHeight="1">
      <c r="B12" s="846" t="s">
        <v>1132</v>
      </c>
      <c r="C12" s="846"/>
      <c r="D12" s="846"/>
      <c r="E12" s="846"/>
      <c r="F12" s="846"/>
      <c r="G12" s="846"/>
      <c r="H12" s="846"/>
      <c r="I12" s="846"/>
      <c r="J12" s="846"/>
      <c r="K12" s="846"/>
    </row>
    <row r="13" spans="2:11" s="264" customFormat="1" ht="24" customHeight="1">
      <c r="B13" s="846" t="s">
        <v>1133</v>
      </c>
      <c r="C13" s="846"/>
      <c r="D13" s="846"/>
      <c r="E13" s="846"/>
      <c r="F13" s="846"/>
      <c r="G13" s="846"/>
      <c r="H13" s="846"/>
      <c r="I13" s="846"/>
      <c r="J13" s="846"/>
      <c r="K13" s="846"/>
    </row>
    <row r="14" spans="2:11" s="264" customFormat="1" ht="24" customHeight="1">
      <c r="B14" s="846" t="s">
        <v>1134</v>
      </c>
      <c r="C14" s="846"/>
      <c r="D14" s="846"/>
      <c r="E14" s="846"/>
      <c r="F14" s="846"/>
      <c r="G14" s="846"/>
      <c r="H14" s="846"/>
      <c r="I14" s="846"/>
      <c r="J14" s="846"/>
      <c r="K14" s="846"/>
    </row>
    <row r="15" spans="2:11" s="264" customFormat="1" ht="27" customHeight="1">
      <c r="B15" s="846" t="s">
        <v>1135</v>
      </c>
      <c r="C15" s="846"/>
      <c r="D15" s="846"/>
      <c r="E15" s="846"/>
      <c r="F15" s="846"/>
      <c r="G15" s="846"/>
      <c r="H15" s="846"/>
      <c r="I15" s="846"/>
      <c r="J15" s="846"/>
      <c r="K15" s="846"/>
    </row>
    <row r="16" spans="2:11" s="264" customFormat="1" ht="18.75">
      <c r="B16" s="846" t="s">
        <v>778</v>
      </c>
      <c r="C16" s="846"/>
      <c r="D16" s="846"/>
      <c r="E16" s="846"/>
      <c r="F16" s="846"/>
      <c r="G16" s="846"/>
      <c r="H16" s="846"/>
      <c r="I16" s="846"/>
      <c r="J16" s="846"/>
      <c r="K16" s="846"/>
    </row>
    <row r="17" spans="2:11" s="264" customFormat="1" ht="22.5" customHeight="1">
      <c r="B17" s="846" t="s">
        <v>775</v>
      </c>
      <c r="C17" s="846"/>
      <c r="D17" s="846"/>
      <c r="E17" s="846"/>
      <c r="F17" s="846"/>
      <c r="G17" s="846"/>
      <c r="H17" s="846"/>
      <c r="I17" s="846"/>
      <c r="J17" s="846"/>
      <c r="K17" s="846"/>
    </row>
    <row r="18" spans="2:11" s="264" customFormat="1" ht="18.75">
      <c r="B18" s="846" t="s">
        <v>779</v>
      </c>
      <c r="C18" s="846"/>
      <c r="D18" s="846"/>
      <c r="E18" s="846"/>
      <c r="F18" s="846"/>
      <c r="G18" s="846"/>
      <c r="H18" s="846"/>
      <c r="I18" s="846"/>
      <c r="J18" s="846"/>
      <c r="K18" s="846"/>
    </row>
    <row r="19" spans="2:11" s="264" customFormat="1" ht="18.75">
      <c r="B19" s="846" t="s">
        <v>1068</v>
      </c>
      <c r="C19" s="846"/>
      <c r="D19" s="846"/>
      <c r="E19" s="846"/>
      <c r="F19" s="846"/>
      <c r="G19" s="846"/>
      <c r="H19" s="846"/>
      <c r="I19" s="846"/>
      <c r="J19" s="846"/>
      <c r="K19" s="846"/>
    </row>
    <row r="20" spans="2:11" s="264" customFormat="1" ht="18.75">
      <c r="B20" s="846" t="s">
        <v>1069</v>
      </c>
      <c r="C20" s="846"/>
      <c r="D20" s="846"/>
      <c r="E20" s="846"/>
      <c r="F20" s="846"/>
      <c r="G20" s="846"/>
      <c r="H20" s="846"/>
      <c r="I20" s="846"/>
      <c r="J20" s="846"/>
      <c r="K20" s="846"/>
    </row>
    <row r="21" spans="2:11" s="264" customFormat="1" ht="24.75" customHeight="1">
      <c r="B21" s="846" t="s">
        <v>1070</v>
      </c>
      <c r="C21" s="846"/>
      <c r="D21" s="846"/>
      <c r="E21" s="846"/>
      <c r="F21" s="846"/>
      <c r="G21" s="846"/>
      <c r="H21" s="846"/>
      <c r="I21" s="846"/>
      <c r="J21" s="846"/>
      <c r="K21" s="846"/>
    </row>
    <row r="22" spans="2:11" s="264" customFormat="1" ht="25.5" customHeight="1">
      <c r="B22" s="846" t="s">
        <v>1071</v>
      </c>
      <c r="C22" s="846"/>
      <c r="D22" s="846"/>
      <c r="E22" s="846"/>
      <c r="F22" s="846"/>
      <c r="G22" s="846"/>
      <c r="H22" s="846"/>
      <c r="I22" s="846"/>
      <c r="J22" s="846"/>
      <c r="K22" s="846"/>
    </row>
    <row r="23" spans="2:11" s="264" customFormat="1" ht="43.5" customHeight="1">
      <c r="B23" s="846" t="s">
        <v>1136</v>
      </c>
      <c r="C23" s="846"/>
      <c r="D23" s="846"/>
      <c r="E23" s="846"/>
      <c r="F23" s="846"/>
      <c r="G23" s="846"/>
      <c r="H23" s="846"/>
      <c r="I23" s="846"/>
      <c r="J23" s="846"/>
      <c r="K23" s="846"/>
    </row>
    <row r="24" spans="2:11" s="264" customFormat="1" ht="40.5" customHeight="1">
      <c r="B24" s="846" t="s">
        <v>1137</v>
      </c>
      <c r="C24" s="846"/>
      <c r="D24" s="846"/>
      <c r="E24" s="846"/>
      <c r="F24" s="846"/>
      <c r="G24" s="846"/>
      <c r="H24" s="846"/>
      <c r="I24" s="846"/>
      <c r="J24" s="846"/>
      <c r="K24" s="846"/>
    </row>
    <row r="25" spans="2:11" s="264" customFormat="1" ht="24.75" customHeight="1">
      <c r="B25" s="846" t="s">
        <v>1138</v>
      </c>
      <c r="C25" s="846"/>
      <c r="D25" s="846"/>
      <c r="E25" s="846"/>
      <c r="F25" s="846"/>
      <c r="G25" s="846"/>
      <c r="H25" s="846"/>
      <c r="I25" s="846"/>
      <c r="J25" s="846"/>
      <c r="K25" s="846"/>
    </row>
    <row r="26" spans="2:11" s="264" customFormat="1" ht="78.75" customHeight="1">
      <c r="B26" s="846" t="s">
        <v>1140</v>
      </c>
      <c r="C26" s="846"/>
      <c r="D26" s="846"/>
      <c r="E26" s="846"/>
      <c r="F26" s="846"/>
      <c r="G26" s="846"/>
      <c r="H26" s="846"/>
      <c r="I26" s="846"/>
      <c r="J26" s="846"/>
      <c r="K26" s="846"/>
    </row>
    <row r="27" spans="2:11" s="264" customFormat="1" ht="82.5" customHeight="1">
      <c r="B27" s="846" t="s">
        <v>1101</v>
      </c>
      <c r="C27" s="846"/>
      <c r="D27" s="846"/>
      <c r="E27" s="846"/>
      <c r="F27" s="846"/>
      <c r="G27" s="846"/>
      <c r="H27" s="846"/>
      <c r="I27" s="846"/>
      <c r="J27" s="846"/>
      <c r="K27" s="846"/>
    </row>
    <row r="28" spans="2:11" s="264" customFormat="1" ht="135" customHeight="1">
      <c r="B28" s="846" t="s">
        <v>1102</v>
      </c>
      <c r="C28" s="846"/>
      <c r="D28" s="846"/>
      <c r="E28" s="846"/>
      <c r="F28" s="846"/>
      <c r="G28" s="846"/>
      <c r="H28" s="846"/>
      <c r="I28" s="846"/>
      <c r="J28" s="846"/>
      <c r="K28" s="846"/>
    </row>
    <row r="29" spans="2:11" s="264" customFormat="1" ht="61.5" customHeight="1">
      <c r="B29" s="846" t="s">
        <v>1113</v>
      </c>
      <c r="C29" s="846"/>
      <c r="D29" s="846"/>
      <c r="E29" s="846"/>
      <c r="F29" s="846"/>
      <c r="G29" s="846"/>
      <c r="H29" s="846"/>
      <c r="I29" s="846"/>
      <c r="J29" s="846"/>
      <c r="K29" s="846"/>
    </row>
    <row r="30" spans="2:11" s="264" customFormat="1" ht="49.5" customHeight="1">
      <c r="B30" s="846" t="s">
        <v>1103</v>
      </c>
      <c r="C30" s="846"/>
      <c r="D30" s="846"/>
      <c r="E30" s="846"/>
      <c r="F30" s="846"/>
      <c r="G30" s="846"/>
      <c r="H30" s="846"/>
      <c r="I30" s="846"/>
      <c r="J30" s="846"/>
      <c r="K30" s="846"/>
    </row>
    <row r="31" spans="2:11" s="264" customFormat="1" ht="18.75">
      <c r="B31" s="846" t="s">
        <v>1104</v>
      </c>
      <c r="C31" s="846"/>
      <c r="D31" s="846"/>
      <c r="E31" s="846"/>
      <c r="F31" s="846"/>
      <c r="G31" s="846"/>
      <c r="H31" s="846"/>
      <c r="I31" s="846"/>
      <c r="J31" s="846"/>
      <c r="K31" s="846"/>
    </row>
    <row r="32" spans="2:11" s="264" customFormat="1" ht="39.75" customHeight="1">
      <c r="B32" s="846" t="s">
        <v>1105</v>
      </c>
      <c r="C32" s="846"/>
      <c r="D32" s="846"/>
      <c r="E32" s="846"/>
      <c r="F32" s="846"/>
      <c r="G32" s="846"/>
      <c r="H32" s="846"/>
      <c r="I32" s="846"/>
      <c r="J32" s="846"/>
      <c r="K32" s="846"/>
    </row>
    <row r="33" spans="2:11" s="264" customFormat="1" ht="60.75" customHeight="1">
      <c r="B33" s="846" t="s">
        <v>691</v>
      </c>
      <c r="C33" s="846"/>
      <c r="D33" s="846"/>
      <c r="E33" s="846"/>
      <c r="F33" s="846"/>
      <c r="G33" s="846"/>
      <c r="H33" s="846"/>
      <c r="I33" s="846"/>
      <c r="J33" s="846"/>
      <c r="K33" s="846"/>
    </row>
    <row r="34" spans="2:11" s="264" customFormat="1" ht="41.25" customHeight="1">
      <c r="B34" s="846" t="s">
        <v>1106</v>
      </c>
      <c r="C34" s="846"/>
      <c r="D34" s="846"/>
      <c r="E34" s="846"/>
      <c r="F34" s="846"/>
      <c r="G34" s="846"/>
      <c r="H34" s="846"/>
      <c r="I34" s="846"/>
      <c r="J34" s="846"/>
      <c r="K34" s="846"/>
    </row>
    <row r="35" spans="2:11" s="264" customFormat="1" ht="47.25" customHeight="1">
      <c r="B35" s="846" t="s">
        <v>1139</v>
      </c>
      <c r="C35" s="846"/>
      <c r="D35" s="846"/>
      <c r="E35" s="846"/>
      <c r="F35" s="846"/>
      <c r="G35" s="846"/>
      <c r="H35" s="846"/>
      <c r="I35" s="846"/>
      <c r="J35" s="846"/>
      <c r="K35" s="846"/>
    </row>
    <row r="36" spans="2:11" s="264" customFormat="1" ht="42" customHeight="1">
      <c r="B36" s="846" t="s">
        <v>1107</v>
      </c>
      <c r="C36" s="846"/>
      <c r="D36" s="846"/>
      <c r="E36" s="846"/>
      <c r="F36" s="846"/>
      <c r="G36" s="846"/>
      <c r="H36" s="846"/>
      <c r="I36" s="846"/>
      <c r="J36" s="846"/>
      <c r="K36" s="846"/>
    </row>
    <row r="37" spans="2:11" s="264" customFormat="1" ht="39" customHeight="1">
      <c r="B37" s="846" t="s">
        <v>1108</v>
      </c>
      <c r="C37" s="846"/>
      <c r="D37" s="846"/>
      <c r="E37" s="846"/>
      <c r="F37" s="846"/>
      <c r="G37" s="846"/>
      <c r="H37" s="846"/>
      <c r="I37" s="846"/>
      <c r="J37" s="846"/>
      <c r="K37" s="846"/>
    </row>
    <row r="38" spans="2:11" s="264" customFormat="1" ht="43.5" customHeight="1">
      <c r="B38" s="846" t="s">
        <v>1109</v>
      </c>
      <c r="C38" s="846"/>
      <c r="D38" s="846"/>
      <c r="E38" s="846"/>
      <c r="F38" s="846"/>
      <c r="G38" s="846"/>
      <c r="H38" s="846"/>
      <c r="I38" s="846"/>
      <c r="J38" s="846"/>
      <c r="K38" s="846"/>
    </row>
    <row r="39" spans="2:11" s="264" customFormat="1" ht="47.25" customHeight="1">
      <c r="B39" s="846" t="s">
        <v>1110</v>
      </c>
      <c r="C39" s="846"/>
      <c r="D39" s="846"/>
      <c r="E39" s="846"/>
      <c r="F39" s="846"/>
      <c r="G39" s="846"/>
      <c r="H39" s="846"/>
      <c r="I39" s="846"/>
      <c r="J39" s="846"/>
      <c r="K39" s="846"/>
    </row>
    <row r="40" spans="2:11" s="264" customFormat="1" ht="60.75" customHeight="1">
      <c r="B40" s="846" t="s">
        <v>1111</v>
      </c>
      <c r="C40" s="846"/>
      <c r="D40" s="846"/>
      <c r="E40" s="846"/>
      <c r="F40" s="846"/>
      <c r="G40" s="846"/>
      <c r="H40" s="846"/>
      <c r="I40" s="846"/>
      <c r="J40" s="846"/>
      <c r="K40" s="846"/>
    </row>
    <row r="41" spans="2:11" s="372" customFormat="1" ht="42.75" customHeight="1">
      <c r="B41" s="845" t="s">
        <v>1112</v>
      </c>
      <c r="C41" s="845"/>
      <c r="D41" s="845"/>
      <c r="E41" s="845"/>
      <c r="F41" s="845"/>
      <c r="G41" s="845"/>
      <c r="H41" s="845"/>
      <c r="I41" s="845"/>
      <c r="J41" s="845"/>
      <c r="K41" s="845"/>
    </row>
    <row r="42" spans="2:11" s="264" customFormat="1" ht="37.5" customHeight="1">
      <c r="B42" s="846" t="s">
        <v>1125</v>
      </c>
      <c r="C42" s="846"/>
      <c r="D42" s="846"/>
      <c r="E42" s="846"/>
      <c r="F42" s="846"/>
      <c r="G42" s="846"/>
      <c r="H42" s="846"/>
      <c r="I42" s="846"/>
      <c r="J42" s="846"/>
      <c r="K42" s="846"/>
    </row>
    <row r="43" s="373" customFormat="1" ht="18.75"/>
    <row r="44" s="373" customFormat="1" ht="18.75"/>
    <row r="45" s="373" customFormat="1" ht="18.75"/>
    <row r="46" s="373" customFormat="1" ht="18.75"/>
    <row r="47" s="373" customFormat="1" ht="18.75"/>
    <row r="48" s="373" customFormat="1" ht="18.75"/>
    <row r="49" s="373" customFormat="1" ht="18.75"/>
    <row r="50" s="373" customFormat="1" ht="18.75"/>
    <row r="51" s="373" customFormat="1" ht="18.75"/>
    <row r="52" s="373" customFormat="1" ht="18.75"/>
    <row r="53" s="373" customFormat="1" ht="18.75"/>
    <row r="54" s="373" customFormat="1" ht="18.75"/>
    <row r="55" s="373" customFormat="1" ht="18.75"/>
    <row r="56" s="373" customFormat="1" ht="18.75"/>
    <row r="57" s="373" customFormat="1" ht="18.75"/>
    <row r="58" s="373" customFormat="1" ht="18.75"/>
    <row r="59" s="373" customFormat="1" ht="18.75"/>
    <row r="60" s="373" customFormat="1" ht="18.75"/>
    <row r="61" s="373" customFormat="1" ht="18.75"/>
    <row r="62" s="373" customFormat="1" ht="18.75"/>
    <row r="63" s="373" customFormat="1" ht="18.75"/>
    <row r="64" s="373" customFormat="1" ht="18.75"/>
    <row r="65" s="373" customFormat="1" ht="18.75"/>
    <row r="66" s="373" customFormat="1" ht="18.75"/>
    <row r="67" s="373" customFormat="1" ht="18.75"/>
    <row r="68" s="373" customFormat="1" ht="18.75"/>
    <row r="69" s="373" customFormat="1" ht="18.75"/>
    <row r="70" s="373" customFormat="1" ht="18.75"/>
    <row r="71" s="373" customFormat="1" ht="18.75"/>
    <row r="72" s="373" customFormat="1" ht="18.75"/>
    <row r="73" s="373" customFormat="1" ht="18.75"/>
    <row r="74" s="373" customFormat="1" ht="18.75"/>
    <row r="75" s="373" customFormat="1" ht="18.75"/>
    <row r="76" s="373" customFormat="1" ht="18.75"/>
    <row r="77" s="373" customFormat="1" ht="18.75"/>
    <row r="78" s="373" customFormat="1" ht="18.75"/>
    <row r="79" s="373" customFormat="1" ht="18.75"/>
    <row r="80" s="373" customFormat="1" ht="18.75"/>
    <row r="81" s="373" customFormat="1" ht="18.75"/>
    <row r="82" s="373" customFormat="1" ht="18.75"/>
    <row r="83" s="373" customFormat="1" ht="18.75"/>
    <row r="84" s="373" customFormat="1" ht="18.75"/>
    <row r="85" s="373" customFormat="1" ht="18.75"/>
    <row r="86" s="373" customFormat="1" ht="18.75"/>
    <row r="87" s="373" customFormat="1" ht="18.75"/>
    <row r="88" s="373" customFormat="1" ht="18.75"/>
    <row r="89" s="373" customFormat="1" ht="18.75"/>
    <row r="90" s="373" customFormat="1" ht="18.75"/>
    <row r="91" s="373" customFormat="1" ht="18.75"/>
    <row r="92" s="373" customFormat="1" ht="18.75"/>
    <row r="93" s="373" customFormat="1" ht="18.75"/>
  </sheetData>
  <mergeCells count="40">
    <mergeCell ref="B2:K2"/>
    <mergeCell ref="B4:K4"/>
    <mergeCell ref="B5:K5"/>
    <mergeCell ref="B6:K6"/>
    <mergeCell ref="B7:K7"/>
    <mergeCell ref="B8:K8"/>
    <mergeCell ref="B9:K9"/>
    <mergeCell ref="B10:K10"/>
    <mergeCell ref="B15:K15"/>
    <mergeCell ref="B16:K16"/>
    <mergeCell ref="B17:K17"/>
    <mergeCell ref="B11:K11"/>
    <mergeCell ref="B12:K12"/>
    <mergeCell ref="B13:K13"/>
    <mergeCell ref="B14:K14"/>
    <mergeCell ref="B18:K18"/>
    <mergeCell ref="B19:K19"/>
    <mergeCell ref="B20:K20"/>
    <mergeCell ref="B21:K21"/>
    <mergeCell ref="B26:K26"/>
    <mergeCell ref="B27:K27"/>
    <mergeCell ref="B22:K22"/>
    <mergeCell ref="B23:K23"/>
    <mergeCell ref="B24:K24"/>
    <mergeCell ref="B25:K25"/>
    <mergeCell ref="B30:K30"/>
    <mergeCell ref="B31:K31"/>
    <mergeCell ref="B32:K32"/>
    <mergeCell ref="B28:K28"/>
    <mergeCell ref="B29:K29"/>
    <mergeCell ref="B33:K33"/>
    <mergeCell ref="B34:K34"/>
    <mergeCell ref="B35:K35"/>
    <mergeCell ref="B36:K36"/>
    <mergeCell ref="B41:K41"/>
    <mergeCell ref="B42:K42"/>
    <mergeCell ref="B37:K37"/>
    <mergeCell ref="B38:K38"/>
    <mergeCell ref="B39:K39"/>
    <mergeCell ref="B40:K40"/>
  </mergeCells>
  <printOptions horizontalCentered="1"/>
  <pageMargins left="0.17" right="0.15748031496062992" top="0.48" bottom="0.15748031496062992" header="0.51" footer="0.1574803149606299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F48"/>
  <sheetViews>
    <sheetView zoomScale="150" zoomScaleNormal="150" workbookViewId="0" topLeftCell="A41">
      <selection activeCell="A1" sqref="A1:F48"/>
    </sheetView>
  </sheetViews>
  <sheetFormatPr defaultColWidth="9.140625" defaultRowHeight="12.75"/>
  <cols>
    <col min="2" max="2" width="23.7109375" style="0" customWidth="1"/>
    <col min="3" max="3" width="17.140625" style="0" customWidth="1"/>
    <col min="4" max="4" width="19.28125" style="0" customWidth="1"/>
    <col min="5" max="5" width="6.421875" style="0" bestFit="1" customWidth="1"/>
    <col min="6" max="6" width="27.7109375" style="232" customWidth="1"/>
  </cols>
  <sheetData>
    <row r="1" spans="1:6" ht="12.75">
      <c r="A1" s="146"/>
      <c r="B1" s="146"/>
      <c r="C1" s="118"/>
      <c r="D1" s="146"/>
      <c r="E1" s="127"/>
      <c r="F1" s="141" t="s">
        <v>365</v>
      </c>
    </row>
    <row r="2" spans="1:6" ht="12.75">
      <c r="A2" s="146"/>
      <c r="B2" s="146"/>
      <c r="C2" s="146"/>
      <c r="D2" s="146"/>
      <c r="E2" s="146"/>
      <c r="F2" s="218"/>
    </row>
    <row r="3" spans="1:6" ht="15.75">
      <c r="A3" s="851" t="s">
        <v>366</v>
      </c>
      <c r="B3" s="851"/>
      <c r="C3" s="851"/>
      <c r="D3" s="851"/>
      <c r="E3" s="851"/>
      <c r="F3" s="851"/>
    </row>
    <row r="4" spans="1:6" ht="13.5" thickBot="1">
      <c r="A4" s="145"/>
      <c r="B4" s="146"/>
      <c r="C4" s="146"/>
      <c r="D4" s="146"/>
      <c r="E4" s="146"/>
      <c r="F4" s="218"/>
    </row>
    <row r="5" spans="1:6" ht="34.5" customHeight="1">
      <c r="A5" s="852" t="s">
        <v>137</v>
      </c>
      <c r="B5" s="852" t="s">
        <v>138</v>
      </c>
      <c r="C5" s="852" t="s">
        <v>953</v>
      </c>
      <c r="D5" s="852" t="s">
        <v>954</v>
      </c>
      <c r="E5" s="852" t="s">
        <v>153</v>
      </c>
      <c r="F5" s="852" t="s">
        <v>367</v>
      </c>
    </row>
    <row r="6" spans="1:6" ht="35.25" customHeight="1" thickBot="1">
      <c r="A6" s="853"/>
      <c r="B6" s="853"/>
      <c r="C6" s="853"/>
      <c r="D6" s="853"/>
      <c r="E6" s="853"/>
      <c r="F6" s="853"/>
    </row>
    <row r="7" spans="1:6" ht="12.75">
      <c r="A7" s="183"/>
      <c r="B7" s="183"/>
      <c r="C7" s="183"/>
      <c r="D7" s="183"/>
      <c r="E7" s="183"/>
      <c r="F7" s="219"/>
    </row>
    <row r="8" spans="1:6" ht="12.75">
      <c r="A8" s="186">
        <v>80101</v>
      </c>
      <c r="B8" s="187" t="s">
        <v>368</v>
      </c>
      <c r="C8" s="188">
        <f>SUM(C9:C13)</f>
        <v>163700</v>
      </c>
      <c r="D8" s="188">
        <f>SUM(D9:D13)</f>
        <v>71347.88</v>
      </c>
      <c r="E8" s="131">
        <f aca="true" t="shared" si="0" ref="E8:E13">D8*100/C8</f>
        <v>43.58453268173488</v>
      </c>
      <c r="F8" s="220"/>
    </row>
    <row r="9" spans="1:6" ht="12.75">
      <c r="A9" s="221" t="s">
        <v>357</v>
      </c>
      <c r="B9" s="222" t="s">
        <v>358</v>
      </c>
      <c r="C9" s="192">
        <f>'do zał.nr 6'!C71</f>
        <v>50</v>
      </c>
      <c r="D9" s="192">
        <f>'do zał.nr 6'!D71</f>
        <v>0</v>
      </c>
      <c r="E9" s="116">
        <f t="shared" si="0"/>
        <v>0</v>
      </c>
      <c r="F9" s="848" t="s">
        <v>584</v>
      </c>
    </row>
    <row r="10" spans="1:6" ht="12.75">
      <c r="A10" s="221" t="s">
        <v>550</v>
      </c>
      <c r="B10" s="222" t="s">
        <v>551</v>
      </c>
      <c r="C10" s="192">
        <f>'do zał.nr 6'!C37+'do zał.nr 6'!C54+'do zał.nr 6'!C72</f>
        <v>142000</v>
      </c>
      <c r="D10" s="192">
        <f>'do zał.nr 6'!D37+'do zał.nr 6'!D54+'do zał.nr 6'!D72</f>
        <v>71033.58</v>
      </c>
      <c r="E10" s="116">
        <f t="shared" si="0"/>
        <v>50.023647887323946</v>
      </c>
      <c r="F10" s="849"/>
    </row>
    <row r="11" spans="1:6" ht="12.75" customHeight="1">
      <c r="A11" s="221" t="s">
        <v>184</v>
      </c>
      <c r="B11" s="222" t="s">
        <v>185</v>
      </c>
      <c r="C11" s="124">
        <f>'do zał.nr 6'!C38+'do zał.nr 6'!C55+'do zał.nr 6'!C73</f>
        <v>150</v>
      </c>
      <c r="D11" s="124">
        <f>'do zał.nr 6'!D38+'do zał.nr 6'!D55+'do zał.nr 6'!D73</f>
        <v>37.300000000000004</v>
      </c>
      <c r="E11" s="116">
        <f t="shared" si="0"/>
        <v>24.86666666666667</v>
      </c>
      <c r="F11" s="849"/>
    </row>
    <row r="12" spans="1:6" s="223" customFormat="1" ht="38.25">
      <c r="A12" s="114" t="s">
        <v>585</v>
      </c>
      <c r="B12" s="50" t="s">
        <v>586</v>
      </c>
      <c r="C12" s="124">
        <f>'do zał.nr 6'!C39+'do zał.nr 6'!C56+'do zał.nr 6'!C74</f>
        <v>13000</v>
      </c>
      <c r="D12" s="124">
        <f>'do zał.nr 6'!D39+'do zał.nr 6'!D56+'do zał.nr 6'!D74</f>
        <v>277</v>
      </c>
      <c r="E12" s="116">
        <f t="shared" si="0"/>
        <v>2.1307692307692307</v>
      </c>
      <c r="F12" s="849"/>
    </row>
    <row r="13" spans="1:6" ht="13.5" thickBot="1">
      <c r="A13" s="114" t="s">
        <v>159</v>
      </c>
      <c r="B13" s="50" t="s">
        <v>358</v>
      </c>
      <c r="C13" s="120">
        <f>'do zał.nr 6'!C75+'do zał.nr 6'!C40</f>
        <v>8500</v>
      </c>
      <c r="D13" s="120">
        <f>'do zał.nr 6'!D75+'do zał.nr 6'!D40</f>
        <v>0</v>
      </c>
      <c r="E13" s="116">
        <f t="shared" si="0"/>
        <v>0</v>
      </c>
      <c r="F13" s="850"/>
    </row>
    <row r="14" spans="1:6" ht="12.75">
      <c r="A14" s="183"/>
      <c r="B14" s="183"/>
      <c r="C14" s="183"/>
      <c r="D14" s="183"/>
      <c r="E14" s="183"/>
      <c r="F14" s="219"/>
    </row>
    <row r="15" spans="1:6" ht="12.75">
      <c r="A15" s="186">
        <v>80101</v>
      </c>
      <c r="B15" s="187" t="s">
        <v>772</v>
      </c>
      <c r="C15" s="188">
        <f>SUM(C16:C19)</f>
        <v>163700</v>
      </c>
      <c r="D15" s="188">
        <f>SUM(D16:D19)</f>
        <v>78972.27</v>
      </c>
      <c r="E15" s="131">
        <f>D15*100/C15</f>
        <v>48.242070861331705</v>
      </c>
      <c r="F15" s="220"/>
    </row>
    <row r="16" spans="1:6" ht="25.5" customHeight="1">
      <c r="A16" s="114">
        <v>4210</v>
      </c>
      <c r="B16" s="50" t="s">
        <v>998</v>
      </c>
      <c r="C16" s="124">
        <f>'do zał.nr 6'!C43+'do zał.nr 6'!C59+'do zał.nr 6'!C78</f>
        <v>25200</v>
      </c>
      <c r="D16" s="124">
        <f>'do zał.nr 6'!D43+'do zał.nr 6'!D59+'do zał.nr 6'!D78</f>
        <v>16524.3</v>
      </c>
      <c r="E16" s="116">
        <f>D16*100/C16</f>
        <v>65.57261904761904</v>
      </c>
      <c r="F16" s="848" t="s">
        <v>587</v>
      </c>
    </row>
    <row r="17" spans="1:6" ht="12.75">
      <c r="A17" s="114">
        <v>4220</v>
      </c>
      <c r="B17" s="50" t="s">
        <v>588</v>
      </c>
      <c r="C17" s="124">
        <f>'do zał.nr 6'!C44+'do zał.nr 6'!C60+'do zał.nr 6'!C79</f>
        <v>133000</v>
      </c>
      <c r="D17" s="124">
        <f>'do zał.nr 6'!D44+'do zał.nr 6'!D60+'do zał.nr 6'!D79</f>
        <v>61896.92</v>
      </c>
      <c r="E17" s="116">
        <f>D17*100/C17</f>
        <v>46.539037593984965</v>
      </c>
      <c r="F17" s="849"/>
    </row>
    <row r="18" spans="1:6" ht="25.5">
      <c r="A18" s="114">
        <v>4240</v>
      </c>
      <c r="B18" s="50" t="s">
        <v>678</v>
      </c>
      <c r="C18" s="124">
        <f>'do zał.nr 6'!C45+'do zał.nr 6'!C61+'do zał.nr 6'!C80</f>
        <v>3250</v>
      </c>
      <c r="D18" s="124">
        <f>'do zał.nr 6'!D45+'do zał.nr 6'!D61+'do zał.nr 6'!D80</f>
        <v>92.95</v>
      </c>
      <c r="E18" s="116">
        <f>D18*100/C18</f>
        <v>2.86</v>
      </c>
      <c r="F18" s="849"/>
    </row>
    <row r="19" spans="1:6" ht="13.5" thickBot="1">
      <c r="A19" s="114">
        <v>4300</v>
      </c>
      <c r="B19" s="50" t="s">
        <v>1000</v>
      </c>
      <c r="C19" s="124">
        <f>'do zał.nr 6'!C46+'do zał.nr 6'!C62+'do zał.nr 6'!C81</f>
        <v>2250</v>
      </c>
      <c r="D19" s="124">
        <f>'do zał.nr 6'!D46+'do zał.nr 6'!D62+'do zał.nr 6'!D81</f>
        <v>458.1</v>
      </c>
      <c r="E19" s="116">
        <f>D19*100/C19</f>
        <v>20.36</v>
      </c>
      <c r="F19" s="850"/>
    </row>
    <row r="20" spans="1:6" ht="12.75">
      <c r="A20" s="183"/>
      <c r="B20" s="183"/>
      <c r="C20" s="183"/>
      <c r="D20" s="183"/>
      <c r="E20" s="183"/>
      <c r="F20" s="219"/>
    </row>
    <row r="21" spans="1:6" ht="12.75" customHeight="1">
      <c r="A21" s="186">
        <v>80104</v>
      </c>
      <c r="B21" s="187" t="s">
        <v>368</v>
      </c>
      <c r="C21" s="188">
        <f>SUM(C22:C25)</f>
        <v>97600</v>
      </c>
      <c r="D21" s="188">
        <f>SUM(D22:D25)</f>
        <v>46552.93</v>
      </c>
      <c r="E21" s="131">
        <f>D21*100/C21</f>
        <v>47.697674180327866</v>
      </c>
      <c r="F21" s="220"/>
    </row>
    <row r="22" spans="1:6" ht="12.75">
      <c r="A22" s="221" t="s">
        <v>550</v>
      </c>
      <c r="B22" s="222" t="s">
        <v>551</v>
      </c>
      <c r="C22" s="192">
        <f>'do zał.nr 6'!C7</f>
        <v>90000</v>
      </c>
      <c r="D22" s="192">
        <f>'do zał.nr 6'!D7</f>
        <v>43525.4</v>
      </c>
      <c r="E22" s="224">
        <f>D22*100/C22</f>
        <v>48.361555555555555</v>
      </c>
      <c r="F22" s="848" t="s">
        <v>584</v>
      </c>
    </row>
    <row r="23" spans="1:6" ht="12.75">
      <c r="A23" s="221" t="s">
        <v>184</v>
      </c>
      <c r="B23" s="222" t="s">
        <v>185</v>
      </c>
      <c r="C23" s="192">
        <f>'do zał.nr 6'!C8</f>
        <v>100</v>
      </c>
      <c r="D23" s="192">
        <f>'do zał.nr 6'!D8</f>
        <v>17.75</v>
      </c>
      <c r="E23" s="224">
        <f>D23*100/C23</f>
        <v>17.75</v>
      </c>
      <c r="F23" s="849"/>
    </row>
    <row r="24" spans="1:6" ht="38.25">
      <c r="A24" s="114" t="s">
        <v>585</v>
      </c>
      <c r="B24" s="50" t="s">
        <v>586</v>
      </c>
      <c r="C24" s="120">
        <f>'do zał.nr 6'!C9</f>
        <v>5000</v>
      </c>
      <c r="D24" s="120">
        <f>'do zał.nr 6'!D9</f>
        <v>3009.78</v>
      </c>
      <c r="E24" s="224">
        <f>D24*100/C24</f>
        <v>60.1956</v>
      </c>
      <c r="F24" s="849"/>
    </row>
    <row r="25" spans="1:6" ht="12.75">
      <c r="A25" s="114" t="s">
        <v>159</v>
      </c>
      <c r="B25" s="50" t="s">
        <v>358</v>
      </c>
      <c r="C25" s="738">
        <f>'do zał.nr 6'!C10</f>
        <v>2500</v>
      </c>
      <c r="D25" s="738">
        <f>'do zał.nr 6'!D10</f>
        <v>0</v>
      </c>
      <c r="E25" s="196"/>
      <c r="F25" s="504"/>
    </row>
    <row r="26" spans="1:6" ht="12.75">
      <c r="A26" s="225"/>
      <c r="B26" s="225"/>
      <c r="C26" s="225"/>
      <c r="D26" s="225"/>
      <c r="E26" s="225"/>
      <c r="F26" s="226"/>
    </row>
    <row r="27" spans="1:6" ht="12.75" customHeight="1">
      <c r="A27" s="186">
        <v>80104</v>
      </c>
      <c r="B27" s="187" t="s">
        <v>772</v>
      </c>
      <c r="C27" s="188">
        <f>SUM(C28:C31)</f>
        <v>97600</v>
      </c>
      <c r="D27" s="188">
        <f>SUM(D28:D31)</f>
        <v>45275.670000000006</v>
      </c>
      <c r="E27" s="131">
        <f>D27*100/C27</f>
        <v>46.389006147541</v>
      </c>
      <c r="F27" s="220"/>
    </row>
    <row r="28" spans="1:6" ht="25.5" customHeight="1">
      <c r="A28" s="114">
        <v>4210</v>
      </c>
      <c r="B28" s="50" t="s">
        <v>998</v>
      </c>
      <c r="C28" s="124">
        <f>'do zał.nr 6'!C13</f>
        <v>5000</v>
      </c>
      <c r="D28" s="124">
        <f>'do zał.nr 6'!D13</f>
        <v>1794.5</v>
      </c>
      <c r="E28" s="116">
        <f>D28*100/C28</f>
        <v>35.89</v>
      </c>
      <c r="F28" s="848" t="s">
        <v>595</v>
      </c>
    </row>
    <row r="29" spans="1:6" ht="12.75">
      <c r="A29" s="114">
        <v>4220</v>
      </c>
      <c r="B29" s="50" t="s">
        <v>588</v>
      </c>
      <c r="C29" s="124">
        <f>'do zał.nr 6'!C14</f>
        <v>90000</v>
      </c>
      <c r="D29" s="124">
        <f>'do zał.nr 6'!D14</f>
        <v>43344.37</v>
      </c>
      <c r="E29" s="116">
        <f>D29*100/C29</f>
        <v>48.16041111111111</v>
      </c>
      <c r="F29" s="849"/>
    </row>
    <row r="30" spans="1:6" ht="25.5">
      <c r="A30" s="114">
        <v>4240</v>
      </c>
      <c r="B30" s="50" t="s">
        <v>678</v>
      </c>
      <c r="C30" s="124">
        <f>'do zał.nr 6'!C15</f>
        <v>2100</v>
      </c>
      <c r="D30" s="124">
        <f>'do zał.nr 6'!D15</f>
        <v>0</v>
      </c>
      <c r="E30" s="116">
        <f>D30*100/C30</f>
        <v>0</v>
      </c>
      <c r="F30" s="849"/>
    </row>
    <row r="31" spans="1:6" ht="12.75" customHeight="1" thickBot="1">
      <c r="A31" s="114">
        <v>4300</v>
      </c>
      <c r="B31" s="50" t="s">
        <v>1000</v>
      </c>
      <c r="C31" s="124">
        <f>'do zał.nr 6'!C16</f>
        <v>500</v>
      </c>
      <c r="D31" s="124">
        <f>'do zał.nr 6'!D16</f>
        <v>136.8</v>
      </c>
      <c r="E31" s="116">
        <f>D31*100/C31</f>
        <v>27.360000000000003</v>
      </c>
      <c r="F31" s="858"/>
    </row>
    <row r="32" spans="1:6" ht="12.75" customHeight="1">
      <c r="A32" s="183"/>
      <c r="B32" s="183"/>
      <c r="C32" s="183"/>
      <c r="D32" s="183"/>
      <c r="E32" s="183"/>
      <c r="F32" s="227"/>
    </row>
    <row r="33" spans="1:6" ht="15.75" customHeight="1" thickBot="1">
      <c r="A33" s="859" t="s">
        <v>382</v>
      </c>
      <c r="B33" s="859"/>
      <c r="C33" s="859"/>
      <c r="D33" s="859"/>
      <c r="E33" s="859"/>
      <c r="F33" s="859"/>
    </row>
    <row r="34" spans="1:6" ht="12.75">
      <c r="A34" s="183"/>
      <c r="B34" s="183"/>
      <c r="C34" s="183"/>
      <c r="D34" s="183"/>
      <c r="E34" s="183"/>
      <c r="F34" s="183"/>
    </row>
    <row r="35" spans="1:6" ht="12.75">
      <c r="A35" s="186">
        <v>80110</v>
      </c>
      <c r="B35" s="187" t="s">
        <v>368</v>
      </c>
      <c r="C35" s="248">
        <f>SUM(C36:C39)</f>
        <v>13420</v>
      </c>
      <c r="D35" s="248">
        <f>SUM(D36:D39)</f>
        <v>9907.9</v>
      </c>
      <c r="E35" s="131">
        <f>D35*100/C35</f>
        <v>73.82935916542473</v>
      </c>
      <c r="F35" s="188"/>
    </row>
    <row r="36" spans="1:6" ht="12.75">
      <c r="A36" s="221" t="s">
        <v>357</v>
      </c>
      <c r="B36" s="222" t="s">
        <v>358</v>
      </c>
      <c r="C36" s="192">
        <f>'do zał.nr 6'!C89</f>
        <v>50</v>
      </c>
      <c r="D36" s="192">
        <f>'do zał.nr 6'!D89</f>
        <v>0</v>
      </c>
      <c r="E36" s="116">
        <f>D36*100/C36</f>
        <v>0</v>
      </c>
      <c r="F36" s="849" t="s">
        <v>383</v>
      </c>
    </row>
    <row r="37" spans="1:6" ht="12.75">
      <c r="A37" s="221" t="s">
        <v>184</v>
      </c>
      <c r="B37" s="222" t="s">
        <v>185</v>
      </c>
      <c r="C37" s="124">
        <f>'do zał.nr 6'!C90</f>
        <v>70</v>
      </c>
      <c r="D37" s="124">
        <f>'do zał.nr 6'!D90</f>
        <v>7.9</v>
      </c>
      <c r="E37" s="116">
        <f>D37*100/C37</f>
        <v>11.285714285714286</v>
      </c>
      <c r="F37" s="849"/>
    </row>
    <row r="38" spans="1:6" s="223" customFormat="1" ht="38.25">
      <c r="A38" s="114" t="s">
        <v>585</v>
      </c>
      <c r="B38" s="50" t="s">
        <v>586</v>
      </c>
      <c r="C38" s="124">
        <f>'do zał.nr 6'!C91</f>
        <v>13000</v>
      </c>
      <c r="D38" s="124">
        <f>'do zał.nr 6'!D91</f>
        <v>9900</v>
      </c>
      <c r="E38" s="116">
        <f>D38*100/C38</f>
        <v>76.15384615384616</v>
      </c>
      <c r="F38" s="849"/>
    </row>
    <row r="39" spans="1:6" ht="13.5" thickBot="1">
      <c r="A39" s="114" t="s">
        <v>159</v>
      </c>
      <c r="B39" s="50" t="s">
        <v>358</v>
      </c>
      <c r="C39" s="120">
        <f>'do zał.nr 6'!C92</f>
        <v>300</v>
      </c>
      <c r="D39" s="120">
        <f>'do zał.nr 6'!D92</f>
        <v>0</v>
      </c>
      <c r="E39" s="116">
        <f>D39*100/C39</f>
        <v>0</v>
      </c>
      <c r="F39" s="850"/>
    </row>
    <row r="40" spans="1:6" ht="12.75">
      <c r="A40" s="183"/>
      <c r="B40" s="183"/>
      <c r="C40" s="183"/>
      <c r="D40" s="183"/>
      <c r="E40" s="183"/>
      <c r="F40" s="183"/>
    </row>
    <row r="41" spans="1:6" ht="12.75">
      <c r="A41" s="186">
        <v>80110</v>
      </c>
      <c r="B41" s="187" t="s">
        <v>772</v>
      </c>
      <c r="C41" s="188">
        <f>SUM(C42:C44)</f>
        <v>13420</v>
      </c>
      <c r="D41" s="188">
        <f>SUM(D42:D44)</f>
        <v>6755.589999999999</v>
      </c>
      <c r="E41" s="131">
        <f>D41*100/C41</f>
        <v>50.339716840536504</v>
      </c>
      <c r="F41" s="188"/>
    </row>
    <row r="42" spans="1:6" ht="25.5">
      <c r="A42" s="114">
        <v>4210</v>
      </c>
      <c r="B42" s="50" t="s">
        <v>998</v>
      </c>
      <c r="C42" s="124">
        <f>'do zał.nr 6'!C95</f>
        <v>8420</v>
      </c>
      <c r="D42" s="124">
        <f>'do zał.nr 6'!D95</f>
        <v>6503.19</v>
      </c>
      <c r="E42" s="116">
        <f>D42*100/C42</f>
        <v>77.23503562945368</v>
      </c>
      <c r="F42" s="848" t="s">
        <v>384</v>
      </c>
    </row>
    <row r="43" spans="1:6" ht="25.5">
      <c r="A43" s="114">
        <v>4240</v>
      </c>
      <c r="B43" s="50" t="s">
        <v>678</v>
      </c>
      <c r="C43" s="124">
        <f>'do zał.nr 6'!C96</f>
        <v>4500</v>
      </c>
      <c r="D43" s="124">
        <f>'do zał.nr 6'!D96</f>
        <v>0</v>
      </c>
      <c r="E43" s="116">
        <f>D43*100/C43</f>
        <v>0</v>
      </c>
      <c r="F43" s="849"/>
    </row>
    <row r="44" spans="1:6" ht="13.5" thickBot="1">
      <c r="A44" s="114">
        <v>4300</v>
      </c>
      <c r="B44" s="50" t="s">
        <v>1000</v>
      </c>
      <c r="C44" s="124">
        <f>'do zał.nr 6'!C97</f>
        <v>500</v>
      </c>
      <c r="D44" s="124">
        <f>'do zał.nr 6'!D97</f>
        <v>252.4</v>
      </c>
      <c r="E44" s="116">
        <f>D44*100/C44</f>
        <v>50.48</v>
      </c>
      <c r="F44" s="858"/>
    </row>
    <row r="45" spans="1:6" ht="12.75">
      <c r="A45" s="183"/>
      <c r="B45" s="183"/>
      <c r="C45" s="183"/>
      <c r="D45" s="183"/>
      <c r="E45" s="183"/>
      <c r="F45" s="242"/>
    </row>
    <row r="46" spans="1:6" ht="12.75" customHeight="1">
      <c r="A46" s="854" t="s">
        <v>946</v>
      </c>
      <c r="B46" s="855"/>
      <c r="C46" s="228">
        <f>'do zał.nr 6'!C30+'do zał.nr 6'!C48+'do zał.nr 6'!C65+'do zał.nr 6'!C83+'do zał.nr 6'!C99</f>
        <v>84500</v>
      </c>
      <c r="D46" s="228">
        <f>'do zał.nr 6'!D30+'do zał.nr 6'!D48+'do zał.nr 6'!D65+'do zał.nr 6'!D83+'do zał.nr 6'!D99</f>
        <v>66258.95</v>
      </c>
      <c r="E46" s="229"/>
      <c r="F46" s="230"/>
    </row>
    <row r="47" spans="1:6" ht="12.75">
      <c r="A47" s="856" t="s">
        <v>589</v>
      </c>
      <c r="B47" s="857"/>
      <c r="C47" s="188">
        <f>C8+C21+C35</f>
        <v>274720</v>
      </c>
      <c r="D47" s="188">
        <f>D8+D21+D35</f>
        <v>127808.70999999999</v>
      </c>
      <c r="E47" s="188">
        <f>D47*100/C47</f>
        <v>46.52326368666279</v>
      </c>
      <c r="F47" s="230"/>
    </row>
    <row r="48" spans="1:6" ht="12.75">
      <c r="A48" s="856" t="s">
        <v>758</v>
      </c>
      <c r="B48" s="857"/>
      <c r="C48" s="188">
        <f>C15+C27+C41</f>
        <v>274720</v>
      </c>
      <c r="D48" s="188">
        <f>D15+D27+D41</f>
        <v>131003.53</v>
      </c>
      <c r="E48" s="188">
        <f>D48*100/C48</f>
        <v>47.686200495049505</v>
      </c>
      <c r="F48" s="231"/>
    </row>
  </sheetData>
  <mergeCells count="17">
    <mergeCell ref="A46:B46"/>
    <mergeCell ref="A47:B47"/>
    <mergeCell ref="A48:B48"/>
    <mergeCell ref="F28:F31"/>
    <mergeCell ref="A33:F33"/>
    <mergeCell ref="F36:F39"/>
    <mergeCell ref="F42:F44"/>
    <mergeCell ref="F9:F13"/>
    <mergeCell ref="F22:F24"/>
    <mergeCell ref="F16:F19"/>
    <mergeCell ref="A3:F3"/>
    <mergeCell ref="A5:A6"/>
    <mergeCell ref="B5:B6"/>
    <mergeCell ref="C5:C6"/>
    <mergeCell ref="D5:D6"/>
    <mergeCell ref="E5:E6"/>
    <mergeCell ref="F5:F6"/>
  </mergeCells>
  <printOptions horizontalCentered="1"/>
  <pageMargins left="0.15748031496062992" right="0.15748031496062992" top="0.15748031496062992" bottom="0.1968503937007874" header="0.15748031496062992" footer="0.1968503937007874"/>
  <pageSetup fitToHeight="1" fitToWidth="1" horizontalDpi="600" verticalDpi="6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5"/>
  </sheetPr>
  <dimension ref="A1:F104"/>
  <sheetViews>
    <sheetView zoomScale="150" zoomScaleNormal="150" workbookViewId="0" topLeftCell="A91">
      <selection activeCell="A1" sqref="A1:F101"/>
    </sheetView>
  </sheetViews>
  <sheetFormatPr defaultColWidth="9.140625" defaultRowHeight="12.75"/>
  <cols>
    <col min="1" max="1" width="8.8515625" style="0" customWidth="1"/>
    <col min="2" max="2" width="21.421875" style="0" customWidth="1"/>
    <col min="3" max="3" width="19.140625" style="0" customWidth="1"/>
    <col min="4" max="4" width="18.140625" style="0" customWidth="1"/>
    <col min="5" max="5" width="6.421875" style="0" bestFit="1" customWidth="1"/>
    <col min="6" max="6" width="27.7109375" style="232" customWidth="1"/>
  </cols>
  <sheetData>
    <row r="1" spans="1:6" ht="12.75">
      <c r="A1" s="146"/>
      <c r="B1" s="146"/>
      <c r="C1" s="118"/>
      <c r="D1" s="146"/>
      <c r="E1" s="127"/>
      <c r="F1" s="141" t="s">
        <v>590</v>
      </c>
    </row>
    <row r="2" spans="1:6" ht="13.5" thickBot="1">
      <c r="A2" s="146"/>
      <c r="B2" s="146"/>
      <c r="C2" s="146"/>
      <c r="D2" s="146"/>
      <c r="E2" s="146"/>
      <c r="F2" s="218"/>
    </row>
    <row r="3" spans="1:6" s="233" customFormat="1" ht="45" customHeight="1" thickBot="1">
      <c r="A3" s="320" t="s">
        <v>137</v>
      </c>
      <c r="B3" s="320" t="s">
        <v>138</v>
      </c>
      <c r="C3" s="139" t="s">
        <v>568</v>
      </c>
      <c r="D3" s="139" t="s">
        <v>567</v>
      </c>
      <c r="E3" s="320" t="s">
        <v>153</v>
      </c>
      <c r="F3" s="320"/>
    </row>
    <row r="4" spans="1:6" s="233" customFormat="1" ht="18" customHeight="1" thickBot="1">
      <c r="A4" s="863" t="s">
        <v>591</v>
      </c>
      <c r="B4" s="864"/>
      <c r="C4" s="864"/>
      <c r="D4" s="864"/>
      <c r="E4" s="864"/>
      <c r="F4" s="865"/>
    </row>
    <row r="5" spans="1:6" ht="12.75">
      <c r="A5" s="183"/>
      <c r="B5" s="183"/>
      <c r="C5" s="183"/>
      <c r="D5" s="183"/>
      <c r="E5" s="183"/>
      <c r="F5" s="183"/>
    </row>
    <row r="6" spans="1:6" ht="12.75" customHeight="1">
      <c r="A6" s="186">
        <v>80104</v>
      </c>
      <c r="B6" s="187" t="s">
        <v>368</v>
      </c>
      <c r="C6" s="188">
        <f>SUM(C7:C10)</f>
        <v>97600</v>
      </c>
      <c r="D6" s="188">
        <f>SUM(D7:D9)</f>
        <v>46552.93</v>
      </c>
      <c r="E6" s="131">
        <f aca="true" t="shared" si="0" ref="E6:E12">D6*100/C6</f>
        <v>47.697674180327866</v>
      </c>
      <c r="F6" s="188"/>
    </row>
    <row r="7" spans="1:6" ht="12.75" customHeight="1">
      <c r="A7" s="221" t="s">
        <v>550</v>
      </c>
      <c r="B7" s="222" t="s">
        <v>551</v>
      </c>
      <c r="C7" s="192">
        <v>90000</v>
      </c>
      <c r="D7" s="192">
        <v>43525.4</v>
      </c>
      <c r="E7" s="116">
        <f t="shared" si="0"/>
        <v>48.361555555555555</v>
      </c>
      <c r="F7" s="848" t="s">
        <v>584</v>
      </c>
    </row>
    <row r="8" spans="1:6" ht="12.75">
      <c r="A8" s="221" t="s">
        <v>184</v>
      </c>
      <c r="B8" s="222" t="s">
        <v>185</v>
      </c>
      <c r="C8" s="192">
        <v>100</v>
      </c>
      <c r="D8" s="192">
        <v>17.75</v>
      </c>
      <c r="E8" s="116">
        <f t="shared" si="0"/>
        <v>17.75</v>
      </c>
      <c r="F8" s="849"/>
    </row>
    <row r="9" spans="1:6" ht="38.25">
      <c r="A9" s="114" t="s">
        <v>585</v>
      </c>
      <c r="B9" s="50" t="s">
        <v>586</v>
      </c>
      <c r="C9" s="120">
        <v>5000</v>
      </c>
      <c r="D9" s="116">
        <v>3009.78</v>
      </c>
      <c r="E9" s="116">
        <f t="shared" si="0"/>
        <v>60.1956</v>
      </c>
      <c r="F9" s="849"/>
    </row>
    <row r="10" spans="1:6" ht="13.5" thickBot="1">
      <c r="A10" s="114" t="s">
        <v>159</v>
      </c>
      <c r="B10" s="50" t="s">
        <v>358</v>
      </c>
      <c r="C10" s="738">
        <v>2500</v>
      </c>
      <c r="D10" s="196">
        <v>0</v>
      </c>
      <c r="E10" s="116">
        <f t="shared" si="0"/>
        <v>0</v>
      </c>
      <c r="F10" s="850"/>
    </row>
    <row r="11" spans="1:6" ht="12.75">
      <c r="A11" s="183"/>
      <c r="B11" s="183"/>
      <c r="C11" s="183"/>
      <c r="D11" s="183"/>
      <c r="E11" s="183"/>
      <c r="F11" s="183"/>
    </row>
    <row r="12" spans="1:6" ht="12.75">
      <c r="A12" s="186">
        <v>80104</v>
      </c>
      <c r="B12" s="187" t="s">
        <v>772</v>
      </c>
      <c r="C12" s="188">
        <f>SUM(C13:C16)</f>
        <v>97600</v>
      </c>
      <c r="D12" s="188">
        <f>SUM(D13:D16)</f>
        <v>45275.670000000006</v>
      </c>
      <c r="E12" s="131">
        <f t="shared" si="0"/>
        <v>46.389006147541</v>
      </c>
      <c r="F12" s="188"/>
    </row>
    <row r="13" spans="1:6" ht="25.5" customHeight="1">
      <c r="A13" s="114">
        <v>4210</v>
      </c>
      <c r="B13" s="50" t="s">
        <v>998</v>
      </c>
      <c r="C13" s="124">
        <v>5000</v>
      </c>
      <c r="D13" s="124">
        <v>1794.5</v>
      </c>
      <c r="E13" s="116">
        <f>D13*100/C13</f>
        <v>35.89</v>
      </c>
      <c r="F13" s="848" t="s">
        <v>947</v>
      </c>
    </row>
    <row r="14" spans="1:6" ht="12.75">
      <c r="A14" s="114">
        <v>4220</v>
      </c>
      <c r="B14" s="50" t="s">
        <v>588</v>
      </c>
      <c r="C14" s="124">
        <v>90000</v>
      </c>
      <c r="D14" s="124">
        <v>43344.37</v>
      </c>
      <c r="E14" s="116">
        <f>D14*100/C14</f>
        <v>48.16041111111111</v>
      </c>
      <c r="F14" s="849"/>
    </row>
    <row r="15" spans="1:6" ht="26.25" customHeight="1">
      <c r="A15" s="114">
        <v>4240</v>
      </c>
      <c r="B15" s="50" t="s">
        <v>678</v>
      </c>
      <c r="C15" s="124">
        <v>2100</v>
      </c>
      <c r="D15" s="124">
        <v>0</v>
      </c>
      <c r="E15" s="116">
        <f>D15*100/C15</f>
        <v>0</v>
      </c>
      <c r="F15" s="849"/>
    </row>
    <row r="16" spans="1:6" ht="13.5" thickBot="1">
      <c r="A16" s="114">
        <v>4300</v>
      </c>
      <c r="B16" s="50" t="s">
        <v>1000</v>
      </c>
      <c r="C16" s="124">
        <v>500</v>
      </c>
      <c r="D16" s="124">
        <v>136.8</v>
      </c>
      <c r="E16" s="116">
        <f>D16*100/C16</f>
        <v>27.360000000000003</v>
      </c>
      <c r="F16" s="858"/>
    </row>
    <row r="17" spans="1:6" ht="12.75" customHeight="1" hidden="1">
      <c r="A17" s="183"/>
      <c r="B17" s="183"/>
      <c r="C17" s="183"/>
      <c r="D17" s="183"/>
      <c r="E17" s="183"/>
      <c r="F17" s="183"/>
    </row>
    <row r="18" spans="1:6" ht="12.75" customHeight="1" hidden="1">
      <c r="A18" s="186"/>
      <c r="B18" s="187"/>
      <c r="C18" s="188"/>
      <c r="D18" s="188"/>
      <c r="E18" s="188"/>
      <c r="F18" s="188"/>
    </row>
    <row r="19" spans="1:6" ht="13.5" hidden="1" thickBot="1">
      <c r="A19" s="121"/>
      <c r="B19" s="122"/>
      <c r="C19" s="130"/>
      <c r="D19" s="130"/>
      <c r="E19" s="224"/>
      <c r="F19" s="848"/>
    </row>
    <row r="20" spans="1:6" ht="13.5" hidden="1" thickBot="1">
      <c r="A20" s="234"/>
      <c r="B20" s="235"/>
      <c r="C20" s="236"/>
      <c r="D20" s="236"/>
      <c r="E20" s="224"/>
      <c r="F20" s="849"/>
    </row>
    <row r="21" spans="1:6" ht="13.5" hidden="1" thickBot="1">
      <c r="A21" s="221"/>
      <c r="B21" s="222"/>
      <c r="C21" s="192"/>
      <c r="D21" s="192"/>
      <c r="E21" s="224"/>
      <c r="F21" s="849"/>
    </row>
    <row r="22" spans="1:6" ht="13.5" hidden="1" thickBot="1">
      <c r="A22" s="128"/>
      <c r="B22" s="50"/>
      <c r="C22" s="192"/>
      <c r="D22" s="192"/>
      <c r="E22" s="224"/>
      <c r="F22" s="858"/>
    </row>
    <row r="23" spans="1:6" ht="25.5" customHeight="1" hidden="1">
      <c r="A23" s="225"/>
      <c r="B23" s="225"/>
      <c r="C23" s="225"/>
      <c r="D23" s="225"/>
      <c r="E23" s="225"/>
      <c r="F23" s="225"/>
    </row>
    <row r="24" spans="1:6" ht="25.5" customHeight="1" hidden="1">
      <c r="A24" s="186"/>
      <c r="B24" s="187"/>
      <c r="C24" s="188"/>
      <c r="D24" s="188"/>
      <c r="E24" s="188"/>
      <c r="F24" s="188"/>
    </row>
    <row r="25" spans="1:6" ht="13.5" hidden="1" thickBot="1">
      <c r="A25" s="114"/>
      <c r="B25" s="50"/>
      <c r="C25" s="124"/>
      <c r="D25" s="124"/>
      <c r="E25" s="116"/>
      <c r="F25" s="866"/>
    </row>
    <row r="26" spans="1:6" ht="13.5" hidden="1" thickBot="1">
      <c r="A26" s="114"/>
      <c r="B26" s="50"/>
      <c r="C26" s="124"/>
      <c r="D26" s="124"/>
      <c r="E26" s="116"/>
      <c r="F26" s="866"/>
    </row>
    <row r="27" spans="1:6" ht="12.75" customHeight="1" hidden="1">
      <c r="A27" s="195"/>
      <c r="B27" s="174"/>
      <c r="C27" s="237"/>
      <c r="D27" s="237"/>
      <c r="E27" s="116"/>
      <c r="F27" s="866"/>
    </row>
    <row r="28" spans="1:6" ht="12.75" customHeight="1" hidden="1">
      <c r="A28" s="238"/>
      <c r="B28" s="239"/>
      <c r="C28" s="240"/>
      <c r="D28" s="240"/>
      <c r="E28" s="116"/>
      <c r="F28" s="241"/>
    </row>
    <row r="29" spans="1:6" ht="12.75" customHeight="1">
      <c r="A29" s="183"/>
      <c r="B29" s="183"/>
      <c r="C29" s="183"/>
      <c r="D29" s="183"/>
      <c r="E29" s="183"/>
      <c r="F29" s="242"/>
    </row>
    <row r="30" spans="1:6" ht="12.75" customHeight="1">
      <c r="A30" s="854" t="s">
        <v>946</v>
      </c>
      <c r="B30" s="855"/>
      <c r="C30" s="228">
        <v>20000</v>
      </c>
      <c r="D30" s="228">
        <v>17800.8</v>
      </c>
      <c r="E30" s="229"/>
      <c r="F30" s="243"/>
    </row>
    <row r="31" spans="1:6" ht="12.75" customHeight="1">
      <c r="A31" s="856" t="s">
        <v>589</v>
      </c>
      <c r="B31" s="857"/>
      <c r="C31" s="188">
        <f>C6</f>
        <v>97600</v>
      </c>
      <c r="D31" s="188">
        <f>D6</f>
        <v>46552.93</v>
      </c>
      <c r="E31" s="188">
        <f>D31*100/C31</f>
        <v>47.697674180327866</v>
      </c>
      <c r="F31" s="243"/>
    </row>
    <row r="32" spans="1:6" ht="12.75">
      <c r="A32" s="856" t="s">
        <v>758</v>
      </c>
      <c r="B32" s="857"/>
      <c r="C32" s="188">
        <f>C12+C24</f>
        <v>97600</v>
      </c>
      <c r="D32" s="188">
        <f>D12+D24</f>
        <v>45275.670000000006</v>
      </c>
      <c r="E32" s="188">
        <f>D32*100/C32</f>
        <v>46.389006147541</v>
      </c>
      <c r="F32" s="244"/>
    </row>
    <row r="33" spans="1:6" ht="16.5" thickBot="1">
      <c r="A33" s="145"/>
      <c r="B33" s="245"/>
      <c r="C33" s="146"/>
      <c r="D33" s="146"/>
      <c r="E33" s="146"/>
      <c r="F33" s="146"/>
    </row>
    <row r="34" spans="1:6" s="246" customFormat="1" ht="16.5" thickBot="1">
      <c r="A34" s="860" t="s">
        <v>592</v>
      </c>
      <c r="B34" s="861"/>
      <c r="C34" s="861"/>
      <c r="D34" s="861"/>
      <c r="E34" s="861"/>
      <c r="F34" s="862"/>
    </row>
    <row r="35" spans="1:6" ht="12.75">
      <c r="A35" s="183"/>
      <c r="B35" s="183"/>
      <c r="C35" s="183"/>
      <c r="D35" s="183"/>
      <c r="E35" s="183"/>
      <c r="F35" s="183"/>
    </row>
    <row r="36" spans="1:6" ht="12.75">
      <c r="A36" s="186">
        <v>80101</v>
      </c>
      <c r="B36" s="187" t="s">
        <v>368</v>
      </c>
      <c r="C36" s="188">
        <f>SUM(C37:C39)</f>
        <v>41050</v>
      </c>
      <c r="D36" s="188">
        <f>SUM(D37:D39)</f>
        <v>17552.579999999998</v>
      </c>
      <c r="E36" s="247">
        <f aca="true" t="shared" si="1" ref="E36:E42">D36*100/C36</f>
        <v>42.75902557856272</v>
      </c>
      <c r="F36" s="188"/>
    </row>
    <row r="37" spans="1:6" s="223" customFormat="1" ht="16.5" customHeight="1">
      <c r="A37" s="128" t="s">
        <v>550</v>
      </c>
      <c r="B37" s="129" t="s">
        <v>551</v>
      </c>
      <c r="C37" s="124">
        <v>38000</v>
      </c>
      <c r="D37" s="124">
        <v>17286.32</v>
      </c>
      <c r="E37" s="116">
        <f t="shared" si="1"/>
        <v>45.490315789473684</v>
      </c>
      <c r="F37" s="848" t="s">
        <v>584</v>
      </c>
    </row>
    <row r="38" spans="1:6" ht="12.75">
      <c r="A38" s="221" t="s">
        <v>184</v>
      </c>
      <c r="B38" s="222" t="s">
        <v>185</v>
      </c>
      <c r="C38" s="192">
        <v>50</v>
      </c>
      <c r="D38" s="192">
        <v>16.26</v>
      </c>
      <c r="E38" s="116">
        <f t="shared" si="1"/>
        <v>32.52</v>
      </c>
      <c r="F38" s="849"/>
    </row>
    <row r="39" spans="1:6" ht="38.25">
      <c r="A39" s="114" t="s">
        <v>585</v>
      </c>
      <c r="B39" s="50" t="s">
        <v>586</v>
      </c>
      <c r="C39" s="120">
        <v>3000</v>
      </c>
      <c r="D39" s="116">
        <v>250</v>
      </c>
      <c r="E39" s="116">
        <f t="shared" si="1"/>
        <v>8.333333333333334</v>
      </c>
      <c r="F39" s="849"/>
    </row>
    <row r="40" spans="1:6" ht="13.5" thickBot="1">
      <c r="A40" s="114" t="s">
        <v>159</v>
      </c>
      <c r="B40" s="50" t="s">
        <v>358</v>
      </c>
      <c r="C40" s="738">
        <v>2000</v>
      </c>
      <c r="D40" s="196">
        <v>0</v>
      </c>
      <c r="E40" s="116">
        <f t="shared" si="1"/>
        <v>0</v>
      </c>
      <c r="F40" s="850"/>
    </row>
    <row r="41" spans="1:6" ht="12.75">
      <c r="A41" s="183"/>
      <c r="B41" s="183"/>
      <c r="C41" s="183"/>
      <c r="D41" s="183"/>
      <c r="E41" s="183"/>
      <c r="F41" s="183"/>
    </row>
    <row r="42" spans="1:6" ht="12.75">
      <c r="A42" s="186">
        <v>80101</v>
      </c>
      <c r="B42" s="187" t="s">
        <v>772</v>
      </c>
      <c r="C42" s="188">
        <f>SUM(C43:C46)</f>
        <v>43050</v>
      </c>
      <c r="D42" s="188">
        <f>SUM(D43:D46)</f>
        <v>17251.15</v>
      </c>
      <c r="E42" s="131">
        <f t="shared" si="1"/>
        <v>40.07235772357724</v>
      </c>
      <c r="F42" s="188"/>
    </row>
    <row r="43" spans="1:6" ht="25.5">
      <c r="A43" s="114">
        <v>4210</v>
      </c>
      <c r="B43" s="50" t="s">
        <v>998</v>
      </c>
      <c r="C43" s="124">
        <v>4000</v>
      </c>
      <c r="D43" s="124">
        <v>1215.8</v>
      </c>
      <c r="E43" s="116">
        <f>D43*100/C43</f>
        <v>30.395</v>
      </c>
      <c r="F43" s="848" t="s">
        <v>948</v>
      </c>
    </row>
    <row r="44" spans="1:6" ht="12.75">
      <c r="A44" s="114">
        <v>4220</v>
      </c>
      <c r="B44" s="50" t="s">
        <v>588</v>
      </c>
      <c r="C44" s="124">
        <v>38000</v>
      </c>
      <c r="D44" s="124">
        <v>15855.35</v>
      </c>
      <c r="E44" s="116">
        <f>D44*100/C44</f>
        <v>41.7246052631579</v>
      </c>
      <c r="F44" s="849"/>
    </row>
    <row r="45" spans="1:6" ht="25.5">
      <c r="A45" s="114">
        <v>4240</v>
      </c>
      <c r="B45" s="50" t="s">
        <v>678</v>
      </c>
      <c r="C45" s="124">
        <v>500</v>
      </c>
      <c r="D45" s="124">
        <v>0</v>
      </c>
      <c r="E45" s="116">
        <f>D45*100/C45</f>
        <v>0</v>
      </c>
      <c r="F45" s="849"/>
    </row>
    <row r="46" spans="1:6" ht="13.5" thickBot="1">
      <c r="A46" s="114">
        <v>4300</v>
      </c>
      <c r="B46" s="50" t="s">
        <v>1000</v>
      </c>
      <c r="C46" s="124">
        <v>550</v>
      </c>
      <c r="D46" s="124">
        <v>180</v>
      </c>
      <c r="E46" s="116">
        <f>D46*100/C46</f>
        <v>32.72727272727273</v>
      </c>
      <c r="F46" s="858"/>
    </row>
    <row r="47" spans="1:6" ht="12.75">
      <c r="A47" s="183"/>
      <c r="B47" s="183"/>
      <c r="C47" s="183"/>
      <c r="D47" s="183"/>
      <c r="E47" s="183"/>
      <c r="F47" s="242"/>
    </row>
    <row r="48" spans="1:6" ht="12.75" customHeight="1">
      <c r="A48" s="854" t="s">
        <v>946</v>
      </c>
      <c r="B48" s="855"/>
      <c r="C48" s="228">
        <v>20000</v>
      </c>
      <c r="D48" s="228">
        <v>16465.9</v>
      </c>
      <c r="E48" s="229"/>
      <c r="F48" s="243"/>
    </row>
    <row r="49" spans="1:6" ht="12.75" customHeight="1">
      <c r="A49" s="856" t="s">
        <v>589</v>
      </c>
      <c r="B49" s="857"/>
      <c r="C49" s="188">
        <f>C36</f>
        <v>41050</v>
      </c>
      <c r="D49" s="188">
        <f>D36</f>
        <v>17552.579999999998</v>
      </c>
      <c r="E49" s="188">
        <f>D49*100/C49</f>
        <v>42.75902557856272</v>
      </c>
      <c r="F49" s="243"/>
    </row>
    <row r="50" spans="1:6" ht="12.75">
      <c r="A50" s="856" t="s">
        <v>758</v>
      </c>
      <c r="B50" s="857"/>
      <c r="C50" s="188">
        <f>C42</f>
        <v>43050</v>
      </c>
      <c r="D50" s="188">
        <f>D42</f>
        <v>17251.15</v>
      </c>
      <c r="E50" s="188">
        <f>D50*100/C50</f>
        <v>40.07235772357724</v>
      </c>
      <c r="F50" s="244"/>
    </row>
    <row r="51" spans="1:6" ht="15.75" customHeight="1" thickBot="1">
      <c r="A51" s="859" t="s">
        <v>593</v>
      </c>
      <c r="B51" s="859"/>
      <c r="C51" s="859"/>
      <c r="D51" s="859"/>
      <c r="E51" s="859"/>
      <c r="F51" s="859"/>
    </row>
    <row r="52" spans="1:6" ht="12.75">
      <c r="A52" s="183"/>
      <c r="B52" s="183"/>
      <c r="C52" s="183"/>
      <c r="D52" s="183"/>
      <c r="E52" s="183"/>
      <c r="F52" s="183"/>
    </row>
    <row r="53" spans="1:6" ht="12.75">
      <c r="A53" s="186">
        <v>80101</v>
      </c>
      <c r="B53" s="187" t="s">
        <v>368</v>
      </c>
      <c r="C53" s="248">
        <f>SUM(C54:C56)</f>
        <v>22050</v>
      </c>
      <c r="D53" s="248">
        <f>SUM(D54:D56)</f>
        <v>11024.51</v>
      </c>
      <c r="E53" s="131">
        <f>D53*100/C53</f>
        <v>49.99777777777778</v>
      </c>
      <c r="F53" s="188"/>
    </row>
    <row r="54" spans="1:6" s="223" customFormat="1" ht="21" customHeight="1">
      <c r="A54" s="128" t="s">
        <v>550</v>
      </c>
      <c r="B54" s="129" t="s">
        <v>551</v>
      </c>
      <c r="C54" s="124">
        <v>20000</v>
      </c>
      <c r="D54" s="124">
        <v>11021.16</v>
      </c>
      <c r="E54" s="116">
        <f>D54*100/C54</f>
        <v>55.1058</v>
      </c>
      <c r="F54" s="848" t="s">
        <v>584</v>
      </c>
    </row>
    <row r="55" spans="1:6" ht="18" customHeight="1">
      <c r="A55" s="221" t="s">
        <v>184</v>
      </c>
      <c r="B55" s="222" t="s">
        <v>185</v>
      </c>
      <c r="C55" s="192">
        <v>50</v>
      </c>
      <c r="D55" s="192">
        <v>3.35</v>
      </c>
      <c r="E55" s="116">
        <f>D55*100/C55</f>
        <v>6.7</v>
      </c>
      <c r="F55" s="849"/>
    </row>
    <row r="56" spans="1:6" ht="42" customHeight="1" thickBot="1">
      <c r="A56" s="114" t="s">
        <v>585</v>
      </c>
      <c r="B56" s="50" t="s">
        <v>586</v>
      </c>
      <c r="C56" s="120">
        <v>2000</v>
      </c>
      <c r="D56" s="116">
        <v>0</v>
      </c>
      <c r="E56" s="116">
        <f>D56*100/C56</f>
        <v>0</v>
      </c>
      <c r="F56" s="850"/>
    </row>
    <row r="57" spans="1:6" ht="12.75">
      <c r="A57" s="183"/>
      <c r="B57" s="183"/>
      <c r="C57" s="183"/>
      <c r="D57" s="183"/>
      <c r="E57" s="183"/>
      <c r="F57" s="183"/>
    </row>
    <row r="58" spans="1:6" ht="12.75">
      <c r="A58" s="186">
        <v>80101</v>
      </c>
      <c r="B58" s="187" t="s">
        <v>772</v>
      </c>
      <c r="C58" s="188">
        <f>SUM(C59:C62)</f>
        <v>22050</v>
      </c>
      <c r="D58" s="188">
        <f>SUM(D59:D62)</f>
        <v>9280.08</v>
      </c>
      <c r="E58" s="188"/>
      <c r="F58" s="188"/>
    </row>
    <row r="59" spans="1:6" ht="25.5">
      <c r="A59" s="114">
        <v>4210</v>
      </c>
      <c r="B59" s="50" t="s">
        <v>998</v>
      </c>
      <c r="C59" s="124">
        <v>1200</v>
      </c>
      <c r="D59" s="124">
        <v>0</v>
      </c>
      <c r="E59" s="116">
        <f>D59*100/C59</f>
        <v>0</v>
      </c>
      <c r="F59" s="848" t="s">
        <v>949</v>
      </c>
    </row>
    <row r="60" spans="1:6" ht="12.75">
      <c r="A60" s="114">
        <v>4220</v>
      </c>
      <c r="B60" s="50" t="s">
        <v>588</v>
      </c>
      <c r="C60" s="124">
        <v>20000</v>
      </c>
      <c r="D60" s="124">
        <v>9063.83</v>
      </c>
      <c r="E60" s="116">
        <f>D60*100/C60</f>
        <v>45.31915</v>
      </c>
      <c r="F60" s="849"/>
    </row>
    <row r="61" spans="1:6" ht="25.5">
      <c r="A61" s="114">
        <v>4240</v>
      </c>
      <c r="B61" s="50" t="s">
        <v>678</v>
      </c>
      <c r="C61" s="124">
        <v>350</v>
      </c>
      <c r="D61" s="124">
        <v>92.95</v>
      </c>
      <c r="E61" s="116">
        <f>D61*100/C61</f>
        <v>26.557142857142857</v>
      </c>
      <c r="F61" s="849"/>
    </row>
    <row r="62" spans="1:6" ht="12.75">
      <c r="A62" s="114">
        <v>4300</v>
      </c>
      <c r="B62" s="50" t="s">
        <v>1000</v>
      </c>
      <c r="C62" s="124">
        <v>500</v>
      </c>
      <c r="D62" s="124">
        <v>123.3</v>
      </c>
      <c r="E62" s="116">
        <f>D62*100/C62</f>
        <v>24.66</v>
      </c>
      <c r="F62" s="858"/>
    </row>
    <row r="63" spans="1:6" ht="13.5" thickBot="1">
      <c r="A63" s="114"/>
      <c r="B63" s="50"/>
      <c r="C63" s="124"/>
      <c r="D63" s="124"/>
      <c r="E63" s="116"/>
      <c r="F63" s="241"/>
    </row>
    <row r="64" spans="1:6" ht="12.75">
      <c r="A64" s="183"/>
      <c r="B64" s="183"/>
      <c r="C64" s="183"/>
      <c r="D64" s="183"/>
      <c r="E64" s="183"/>
      <c r="F64" s="242"/>
    </row>
    <row r="65" spans="1:6" ht="12.75" customHeight="1">
      <c r="A65" s="854" t="s">
        <v>946</v>
      </c>
      <c r="B65" s="855"/>
      <c r="C65" s="228">
        <v>4500</v>
      </c>
      <c r="D65" s="228">
        <v>4121.57</v>
      </c>
      <c r="E65" s="229"/>
      <c r="F65" s="243"/>
    </row>
    <row r="66" spans="1:6" ht="12.75" customHeight="1">
      <c r="A66" s="856" t="s">
        <v>589</v>
      </c>
      <c r="B66" s="857"/>
      <c r="C66" s="188">
        <f>C53</f>
        <v>22050</v>
      </c>
      <c r="D66" s="188">
        <f>D53</f>
        <v>11024.51</v>
      </c>
      <c r="E66" s="188">
        <f>D66*100/C66</f>
        <v>49.99777777777778</v>
      </c>
      <c r="F66" s="243"/>
    </row>
    <row r="67" spans="1:6" ht="12.75">
      <c r="A67" s="856" t="s">
        <v>758</v>
      </c>
      <c r="B67" s="857"/>
      <c r="C67" s="188">
        <f>C58</f>
        <v>22050</v>
      </c>
      <c r="D67" s="188">
        <f>D58</f>
        <v>9280.08</v>
      </c>
      <c r="E67" s="188">
        <f>D67*100/C67</f>
        <v>42.0865306122449</v>
      </c>
      <c r="F67" s="244"/>
    </row>
    <row r="68" spans="1:6" ht="15.75" customHeight="1" thickBot="1">
      <c r="A68" s="859" t="s">
        <v>594</v>
      </c>
      <c r="B68" s="859"/>
      <c r="C68" s="859"/>
      <c r="D68" s="859"/>
      <c r="E68" s="859"/>
      <c r="F68" s="859"/>
    </row>
    <row r="69" spans="1:6" ht="12.75">
      <c r="A69" s="183"/>
      <c r="B69" s="183"/>
      <c r="C69" s="183"/>
      <c r="D69" s="183"/>
      <c r="E69" s="183"/>
      <c r="F69" s="183"/>
    </row>
    <row r="70" spans="1:6" ht="12.75">
      <c r="A70" s="186">
        <v>80101</v>
      </c>
      <c r="B70" s="187" t="s">
        <v>368</v>
      </c>
      <c r="C70" s="248">
        <f>SUM(C71:C75)</f>
        <v>98600</v>
      </c>
      <c r="D70" s="248">
        <f>SUM(D71:D75)</f>
        <v>42770.79</v>
      </c>
      <c r="E70" s="131">
        <f aca="true" t="shared" si="2" ref="E70:E77">D70*100/C70</f>
        <v>43.3780831643002</v>
      </c>
      <c r="F70" s="188"/>
    </row>
    <row r="71" spans="1:6" ht="12.75">
      <c r="A71" s="221" t="s">
        <v>357</v>
      </c>
      <c r="B71" s="222" t="s">
        <v>358</v>
      </c>
      <c r="C71" s="192">
        <v>50</v>
      </c>
      <c r="D71" s="192">
        <v>0</v>
      </c>
      <c r="E71" s="116">
        <f t="shared" si="2"/>
        <v>0</v>
      </c>
      <c r="F71" s="849" t="s">
        <v>584</v>
      </c>
    </row>
    <row r="72" spans="1:6" ht="12.75">
      <c r="A72" s="221" t="s">
        <v>550</v>
      </c>
      <c r="B72" s="222" t="s">
        <v>551</v>
      </c>
      <c r="C72" s="192">
        <v>84000</v>
      </c>
      <c r="D72" s="192">
        <v>42726.1</v>
      </c>
      <c r="E72" s="116">
        <f t="shared" si="2"/>
        <v>50.864404761904765</v>
      </c>
      <c r="F72" s="849"/>
    </row>
    <row r="73" spans="1:6" ht="12.75">
      <c r="A73" s="221" t="s">
        <v>184</v>
      </c>
      <c r="B73" s="222" t="s">
        <v>185</v>
      </c>
      <c r="C73" s="124">
        <v>50</v>
      </c>
      <c r="D73" s="124">
        <v>17.69</v>
      </c>
      <c r="E73" s="116">
        <f t="shared" si="2"/>
        <v>35.38</v>
      </c>
      <c r="F73" s="849"/>
    </row>
    <row r="74" spans="1:6" s="223" customFormat="1" ht="38.25">
      <c r="A74" s="114" t="s">
        <v>585</v>
      </c>
      <c r="B74" s="50" t="s">
        <v>586</v>
      </c>
      <c r="C74" s="124">
        <v>8000</v>
      </c>
      <c r="D74" s="124">
        <v>27</v>
      </c>
      <c r="E74" s="116">
        <f t="shared" si="2"/>
        <v>0.3375</v>
      </c>
      <c r="F74" s="849"/>
    </row>
    <row r="75" spans="1:6" ht="13.5" thickBot="1">
      <c r="A75" s="114" t="s">
        <v>159</v>
      </c>
      <c r="B75" s="50" t="s">
        <v>358</v>
      </c>
      <c r="C75" s="120">
        <v>6500</v>
      </c>
      <c r="D75" s="116">
        <v>0</v>
      </c>
      <c r="E75" s="116">
        <f t="shared" si="2"/>
        <v>0</v>
      </c>
      <c r="F75" s="850"/>
    </row>
    <row r="76" spans="1:6" ht="12.75">
      <c r="A76" s="183"/>
      <c r="B76" s="183"/>
      <c r="C76" s="183"/>
      <c r="D76" s="183"/>
      <c r="E76" s="183"/>
      <c r="F76" s="183"/>
    </row>
    <row r="77" spans="1:6" ht="12.75">
      <c r="A77" s="186">
        <v>80101</v>
      </c>
      <c r="B77" s="187" t="s">
        <v>772</v>
      </c>
      <c r="C77" s="188">
        <f>SUM(C78:C81)</f>
        <v>98600</v>
      </c>
      <c r="D77" s="188">
        <f>SUM(D78:D81)</f>
        <v>52441.04</v>
      </c>
      <c r="E77" s="131">
        <f t="shared" si="2"/>
        <v>53.185638945233265</v>
      </c>
      <c r="F77" s="188"/>
    </row>
    <row r="78" spans="1:6" ht="25.5">
      <c r="A78" s="114">
        <v>4210</v>
      </c>
      <c r="B78" s="50" t="s">
        <v>998</v>
      </c>
      <c r="C78" s="124">
        <v>20000</v>
      </c>
      <c r="D78" s="124">
        <v>15308.5</v>
      </c>
      <c r="E78" s="116">
        <f>D78*100/C78</f>
        <v>76.5425</v>
      </c>
      <c r="F78" s="848" t="s">
        <v>950</v>
      </c>
    </row>
    <row r="79" spans="1:6" ht="12.75">
      <c r="A79" s="114">
        <v>4220</v>
      </c>
      <c r="B79" s="50" t="s">
        <v>588</v>
      </c>
      <c r="C79" s="124">
        <v>75000</v>
      </c>
      <c r="D79" s="124">
        <v>36977.74</v>
      </c>
      <c r="E79" s="116">
        <f>D79*100/C79</f>
        <v>49.30365333333334</v>
      </c>
      <c r="F79" s="849"/>
    </row>
    <row r="80" spans="1:6" ht="25.5">
      <c r="A80" s="114">
        <v>4240</v>
      </c>
      <c r="B80" s="50" t="s">
        <v>678</v>
      </c>
      <c r="C80" s="124">
        <v>2400</v>
      </c>
      <c r="D80" s="124">
        <v>0</v>
      </c>
      <c r="E80" s="116">
        <f>D80*100/C80</f>
        <v>0</v>
      </c>
      <c r="F80" s="849"/>
    </row>
    <row r="81" spans="1:6" ht="13.5" thickBot="1">
      <c r="A81" s="114">
        <v>4300</v>
      </c>
      <c r="B81" s="50" t="s">
        <v>1000</v>
      </c>
      <c r="C81" s="124">
        <v>1200</v>
      </c>
      <c r="D81" s="124">
        <v>154.8</v>
      </c>
      <c r="E81" s="116">
        <f>D81*100/C81</f>
        <v>12.900000000000002</v>
      </c>
      <c r="F81" s="858"/>
    </row>
    <row r="82" spans="1:6" ht="12.75">
      <c r="A82" s="183"/>
      <c r="B82" s="183"/>
      <c r="C82" s="183"/>
      <c r="D82" s="183"/>
      <c r="E82" s="183"/>
      <c r="F82" s="242"/>
    </row>
    <row r="83" spans="1:6" ht="12.75" customHeight="1">
      <c r="A83" s="854" t="s">
        <v>946</v>
      </c>
      <c r="B83" s="855"/>
      <c r="C83" s="228">
        <v>27000</v>
      </c>
      <c r="D83" s="228">
        <v>16244.11</v>
      </c>
      <c r="E83" s="229"/>
      <c r="F83" s="243"/>
    </row>
    <row r="84" spans="1:6" ht="12.75">
      <c r="A84" s="856" t="s">
        <v>589</v>
      </c>
      <c r="B84" s="857"/>
      <c r="C84" s="188">
        <f>C70</f>
        <v>98600</v>
      </c>
      <c r="D84" s="188">
        <f>D70</f>
        <v>42770.79</v>
      </c>
      <c r="E84" s="188">
        <f>D84*100/C84</f>
        <v>43.3780831643002</v>
      </c>
      <c r="F84" s="243"/>
    </row>
    <row r="85" spans="1:6" ht="12.75">
      <c r="A85" s="856" t="s">
        <v>758</v>
      </c>
      <c r="B85" s="857"/>
      <c r="C85" s="188">
        <f>C77</f>
        <v>98600</v>
      </c>
      <c r="D85" s="188">
        <f>D77</f>
        <v>52441.04</v>
      </c>
      <c r="E85" s="188">
        <f>D85*100/C85</f>
        <v>53.185638945233265</v>
      </c>
      <c r="F85" s="244"/>
    </row>
    <row r="86" spans="1:6" ht="15.75" customHeight="1" thickBot="1">
      <c r="A86" s="859" t="s">
        <v>382</v>
      </c>
      <c r="B86" s="859"/>
      <c r="C86" s="859"/>
      <c r="D86" s="859"/>
      <c r="E86" s="859"/>
      <c r="F86" s="859"/>
    </row>
    <row r="87" spans="1:6" ht="12.75">
      <c r="A87" s="183"/>
      <c r="B87" s="183"/>
      <c r="C87" s="183"/>
      <c r="D87" s="183"/>
      <c r="E87" s="183"/>
      <c r="F87" s="183"/>
    </row>
    <row r="88" spans="1:6" ht="12.75">
      <c r="A88" s="186">
        <v>80110</v>
      </c>
      <c r="B88" s="187" t="s">
        <v>368</v>
      </c>
      <c r="C88" s="248">
        <f>SUM(C89:C92)</f>
        <v>13420</v>
      </c>
      <c r="D88" s="248">
        <f>SUM(D89:D92)</f>
        <v>9907.9</v>
      </c>
      <c r="E88" s="131">
        <f>D88*100/C88</f>
        <v>73.82935916542473</v>
      </c>
      <c r="F88" s="188"/>
    </row>
    <row r="89" spans="1:6" ht="12.75">
      <c r="A89" s="221" t="s">
        <v>357</v>
      </c>
      <c r="B89" s="222" t="s">
        <v>358</v>
      </c>
      <c r="C89" s="192">
        <v>50</v>
      </c>
      <c r="D89" s="192">
        <v>0</v>
      </c>
      <c r="E89" s="116">
        <f>D89*100/C89</f>
        <v>0</v>
      </c>
      <c r="F89" s="849" t="s">
        <v>951</v>
      </c>
    </row>
    <row r="90" spans="1:6" ht="12.75">
      <c r="A90" s="221" t="s">
        <v>184</v>
      </c>
      <c r="B90" s="222" t="s">
        <v>185</v>
      </c>
      <c r="C90" s="124">
        <v>70</v>
      </c>
      <c r="D90" s="124">
        <v>7.9</v>
      </c>
      <c r="E90" s="116">
        <f>D90*100/C90</f>
        <v>11.285714285714286</v>
      </c>
      <c r="F90" s="849"/>
    </row>
    <row r="91" spans="1:6" s="223" customFormat="1" ht="38.25">
      <c r="A91" s="114" t="s">
        <v>585</v>
      </c>
      <c r="B91" s="50" t="s">
        <v>586</v>
      </c>
      <c r="C91" s="124">
        <v>13000</v>
      </c>
      <c r="D91" s="124">
        <v>9900</v>
      </c>
      <c r="E91" s="116">
        <f>D91*100/C91</f>
        <v>76.15384615384616</v>
      </c>
      <c r="F91" s="849"/>
    </row>
    <row r="92" spans="1:6" ht="13.5" thickBot="1">
      <c r="A92" s="114" t="s">
        <v>159</v>
      </c>
      <c r="B92" s="50" t="s">
        <v>358</v>
      </c>
      <c r="C92" s="120">
        <v>300</v>
      </c>
      <c r="D92" s="116">
        <v>0</v>
      </c>
      <c r="E92" s="116">
        <f>D92*100/C92</f>
        <v>0</v>
      </c>
      <c r="F92" s="850"/>
    </row>
    <row r="93" spans="1:6" ht="12.75">
      <c r="A93" s="183"/>
      <c r="B93" s="183"/>
      <c r="C93" s="183"/>
      <c r="D93" s="183"/>
      <c r="E93" s="183"/>
      <c r="F93" s="183"/>
    </row>
    <row r="94" spans="1:6" ht="12.75">
      <c r="A94" s="186">
        <v>80110</v>
      </c>
      <c r="B94" s="187" t="s">
        <v>772</v>
      </c>
      <c r="C94" s="188">
        <f>SUM(C95:C97)</f>
        <v>13420</v>
      </c>
      <c r="D94" s="188">
        <f>SUM(D95:D97)</f>
        <v>6755.589999999999</v>
      </c>
      <c r="E94" s="131">
        <f>D94*100/C94</f>
        <v>50.339716840536504</v>
      </c>
      <c r="F94" s="188"/>
    </row>
    <row r="95" spans="1:6" ht="25.5">
      <c r="A95" s="114">
        <v>4210</v>
      </c>
      <c r="B95" s="50" t="s">
        <v>998</v>
      </c>
      <c r="C95" s="124">
        <v>8420</v>
      </c>
      <c r="D95" s="124">
        <v>6503.19</v>
      </c>
      <c r="E95" s="116">
        <f>D95*100/C95</f>
        <v>77.23503562945368</v>
      </c>
      <c r="F95" s="848" t="s">
        <v>952</v>
      </c>
    </row>
    <row r="96" spans="1:6" ht="25.5">
      <c r="A96" s="114">
        <v>4240</v>
      </c>
      <c r="B96" s="50" t="s">
        <v>678</v>
      </c>
      <c r="C96" s="124">
        <v>4500</v>
      </c>
      <c r="D96" s="124">
        <v>0</v>
      </c>
      <c r="E96" s="116">
        <f>D96*100/C96</f>
        <v>0</v>
      </c>
      <c r="F96" s="849"/>
    </row>
    <row r="97" spans="1:6" ht="13.5" thickBot="1">
      <c r="A97" s="114">
        <v>4300</v>
      </c>
      <c r="B97" s="50" t="s">
        <v>1000</v>
      </c>
      <c r="C97" s="124">
        <v>500</v>
      </c>
      <c r="D97" s="124">
        <v>252.4</v>
      </c>
      <c r="E97" s="116">
        <f>D97*100/C97</f>
        <v>50.48</v>
      </c>
      <c r="F97" s="858"/>
    </row>
    <row r="98" spans="1:6" ht="12.75">
      <c r="A98" s="183"/>
      <c r="B98" s="183"/>
      <c r="C98" s="183"/>
      <c r="D98" s="183"/>
      <c r="E98" s="183"/>
      <c r="F98" s="242"/>
    </row>
    <row r="99" spans="1:6" ht="12.75" customHeight="1">
      <c r="A99" s="854" t="s">
        <v>946</v>
      </c>
      <c r="B99" s="855"/>
      <c r="C99" s="228">
        <v>13000</v>
      </c>
      <c r="D99" s="228">
        <v>11626.57</v>
      </c>
      <c r="E99" s="229"/>
      <c r="F99" s="243"/>
    </row>
    <row r="100" spans="1:6" ht="12.75">
      <c r="A100" s="856" t="s">
        <v>589</v>
      </c>
      <c r="B100" s="857"/>
      <c r="C100" s="188">
        <f>C88</f>
        <v>13420</v>
      </c>
      <c r="D100" s="188">
        <f>D88</f>
        <v>9907.9</v>
      </c>
      <c r="E100" s="188">
        <f>D100*100/C100</f>
        <v>73.82935916542473</v>
      </c>
      <c r="F100" s="243"/>
    </row>
    <row r="101" spans="1:6" ht="12.75">
      <c r="A101" s="856" t="s">
        <v>758</v>
      </c>
      <c r="B101" s="857"/>
      <c r="C101" s="188">
        <f>C94</f>
        <v>13420</v>
      </c>
      <c r="D101" s="188">
        <f>D94</f>
        <v>6755.589999999999</v>
      </c>
      <c r="E101" s="188">
        <f>D101*100/C101</f>
        <v>50.339716840536504</v>
      </c>
      <c r="F101" s="244"/>
    </row>
    <row r="103" ht="12.75">
      <c r="C103" s="249"/>
    </row>
    <row r="104" ht="12.75">
      <c r="D104" s="249"/>
    </row>
  </sheetData>
  <mergeCells count="32">
    <mergeCell ref="A101:B101"/>
    <mergeCell ref="A68:F68"/>
    <mergeCell ref="F71:F75"/>
    <mergeCell ref="F78:F81"/>
    <mergeCell ref="A99:B99"/>
    <mergeCell ref="A86:F86"/>
    <mergeCell ref="F89:F92"/>
    <mergeCell ref="F95:F97"/>
    <mergeCell ref="A65:B65"/>
    <mergeCell ref="A66:B66"/>
    <mergeCell ref="A67:B67"/>
    <mergeCell ref="A100:B100"/>
    <mergeCell ref="A85:B85"/>
    <mergeCell ref="A83:B83"/>
    <mergeCell ref="A84:B84"/>
    <mergeCell ref="A4:F4"/>
    <mergeCell ref="A31:B31"/>
    <mergeCell ref="A32:B32"/>
    <mergeCell ref="F13:F16"/>
    <mergeCell ref="F19:F22"/>
    <mergeCell ref="F25:F27"/>
    <mergeCell ref="A30:B30"/>
    <mergeCell ref="A34:F34"/>
    <mergeCell ref="F43:F46"/>
    <mergeCell ref="F7:F10"/>
    <mergeCell ref="F37:F40"/>
    <mergeCell ref="F54:F56"/>
    <mergeCell ref="F59:F62"/>
    <mergeCell ref="A48:B48"/>
    <mergeCell ref="A49:B49"/>
    <mergeCell ref="A50:B50"/>
    <mergeCell ref="A51:F51"/>
  </mergeCells>
  <printOptions horizontalCentered="1"/>
  <pageMargins left="0.15748031496062992" right="0.15748031496062992" top="0.33" bottom="0.17" header="0.15748031496062992" footer="0.15748031496062992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3"/>
  </sheetPr>
  <dimension ref="A1:I34"/>
  <sheetViews>
    <sheetView zoomScale="150" zoomScaleNormal="150" workbookViewId="0" topLeftCell="A22">
      <selection activeCell="A1" sqref="A1:H32"/>
    </sheetView>
  </sheetViews>
  <sheetFormatPr defaultColWidth="9.140625" defaultRowHeight="12.75"/>
  <cols>
    <col min="1" max="1" width="9.140625" style="223" customWidth="1"/>
    <col min="2" max="2" width="35.421875" style="223" bestFit="1" customWidth="1"/>
    <col min="3" max="4" width="9.140625" style="223" customWidth="1"/>
    <col min="5" max="5" width="16.57421875" style="223" customWidth="1"/>
    <col min="6" max="6" width="3.7109375" style="223" customWidth="1"/>
    <col min="7" max="7" width="4.7109375" style="223" hidden="1" customWidth="1"/>
    <col min="8" max="8" width="0.71875" style="223" customWidth="1"/>
    <col min="9" max="9" width="13.421875" style="223" bestFit="1" customWidth="1"/>
    <col min="10" max="16384" width="9.140625" style="223" customWidth="1"/>
  </cols>
  <sheetData>
    <row r="1" spans="5:6" ht="12.75">
      <c r="E1" s="867" t="s">
        <v>413</v>
      </c>
      <c r="F1" s="867"/>
    </row>
    <row r="2" spans="1:8" ht="15.75">
      <c r="A2" s="869" t="s">
        <v>596</v>
      </c>
      <c r="B2" s="869"/>
      <c r="C2" s="869"/>
      <c r="D2" s="869"/>
      <c r="E2" s="869"/>
      <c r="F2" s="869"/>
      <c r="G2" s="869"/>
      <c r="H2" s="869"/>
    </row>
    <row r="3" spans="1:8" ht="15.75">
      <c r="A3" s="869" t="s">
        <v>597</v>
      </c>
      <c r="B3" s="869"/>
      <c r="C3" s="869"/>
      <c r="D3" s="869"/>
      <c r="E3" s="869"/>
      <c r="F3" s="869"/>
      <c r="G3" s="869"/>
      <c r="H3" s="869"/>
    </row>
    <row r="4" spans="1:8" ht="15.75">
      <c r="A4" s="869" t="s">
        <v>598</v>
      </c>
      <c r="B4" s="869"/>
      <c r="C4" s="869"/>
      <c r="D4" s="869"/>
      <c r="E4" s="869"/>
      <c r="F4" s="869"/>
      <c r="G4" s="869"/>
      <c r="H4" s="869"/>
    </row>
    <row r="5" spans="1:8" ht="15.75">
      <c r="A5" s="869" t="s">
        <v>939</v>
      </c>
      <c r="B5" s="869"/>
      <c r="C5" s="869"/>
      <c r="D5" s="869"/>
      <c r="E5" s="869"/>
      <c r="F5" s="869"/>
      <c r="G5" s="869"/>
      <c r="H5" s="869"/>
    </row>
    <row r="6" spans="1:8" ht="15.75">
      <c r="A6" s="95"/>
      <c r="B6" s="95"/>
      <c r="C6" s="95"/>
      <c r="D6" s="95"/>
      <c r="E6" s="250"/>
      <c r="F6" s="95"/>
      <c r="G6" s="95"/>
      <c r="H6" s="95"/>
    </row>
    <row r="7" spans="1:8" ht="54" customHeight="1">
      <c r="A7" s="870" t="s">
        <v>451</v>
      </c>
      <c r="B7" s="870"/>
      <c r="C7" s="870"/>
      <c r="D7" s="870"/>
      <c r="E7" s="870"/>
      <c r="F7" s="870"/>
      <c r="G7" s="870"/>
      <c r="H7" s="870"/>
    </row>
    <row r="8" spans="1:8" ht="29.25" customHeight="1">
      <c r="A8" s="785" t="s">
        <v>452</v>
      </c>
      <c r="B8" s="785"/>
      <c r="C8" s="785"/>
      <c r="D8" s="785"/>
      <c r="E8" s="785"/>
      <c r="F8" s="785"/>
      <c r="G8" s="785"/>
      <c r="H8" s="785"/>
    </row>
    <row r="9" spans="1:8" ht="19.5" customHeight="1">
      <c r="A9" s="868" t="s">
        <v>238</v>
      </c>
      <c r="B9" s="868"/>
      <c r="C9" s="868"/>
      <c r="D9" s="868"/>
      <c r="E9" s="868"/>
      <c r="F9" s="868"/>
      <c r="G9" s="868"/>
      <c r="H9" s="868"/>
    </row>
    <row r="10" spans="1:8" ht="19.5" customHeight="1">
      <c r="A10" s="868" t="s">
        <v>239</v>
      </c>
      <c r="B10" s="868"/>
      <c r="C10" s="868"/>
      <c r="D10" s="868"/>
      <c r="E10" s="868"/>
      <c r="F10" s="868"/>
      <c r="G10" s="868"/>
      <c r="H10" s="868"/>
    </row>
    <row r="11" spans="1:8" ht="19.5" customHeight="1">
      <c r="A11" s="868" t="s">
        <v>240</v>
      </c>
      <c r="B11" s="868"/>
      <c r="C11" s="868"/>
      <c r="D11" s="868"/>
      <c r="E11" s="868"/>
      <c r="F11" s="868"/>
      <c r="G11" s="868"/>
      <c r="H11" s="868"/>
    </row>
    <row r="12" spans="1:8" ht="19.5" customHeight="1">
      <c r="A12" s="868" t="s">
        <v>241</v>
      </c>
      <c r="B12" s="868"/>
      <c r="C12" s="868"/>
      <c r="D12" s="868"/>
      <c r="E12" s="868"/>
      <c r="F12" s="868"/>
      <c r="G12" s="868"/>
      <c r="H12" s="868"/>
    </row>
    <row r="13" spans="1:8" ht="19.5" customHeight="1">
      <c r="A13" s="868" t="s">
        <v>242</v>
      </c>
      <c r="B13" s="868"/>
      <c r="C13" s="868"/>
      <c r="D13" s="868"/>
      <c r="E13" s="868"/>
      <c r="F13" s="868"/>
      <c r="G13" s="868"/>
      <c r="H13" s="868"/>
    </row>
    <row r="14" spans="1:8" ht="19.5" customHeight="1">
      <c r="A14" s="868" t="s">
        <v>243</v>
      </c>
      <c r="B14" s="868"/>
      <c r="C14" s="868"/>
      <c r="D14" s="868"/>
      <c r="E14" s="868"/>
      <c r="F14" s="868"/>
      <c r="G14" s="868"/>
      <c r="H14" s="868"/>
    </row>
    <row r="15" spans="1:8" ht="19.5" customHeight="1">
      <c r="A15" s="868" t="s">
        <v>244</v>
      </c>
      <c r="B15" s="868"/>
      <c r="C15" s="868"/>
      <c r="D15" s="868"/>
      <c r="E15" s="868"/>
      <c r="F15" s="868"/>
      <c r="G15" s="868"/>
      <c r="H15" s="868"/>
    </row>
    <row r="16" spans="1:8" ht="11.25" customHeight="1">
      <c r="A16" s="17" t="s">
        <v>245</v>
      </c>
      <c r="B16" s="17"/>
      <c r="C16" s="17"/>
      <c r="D16" s="17"/>
      <c r="E16" s="251"/>
      <c r="F16" s="17"/>
      <c r="G16" s="17"/>
      <c r="H16" s="17"/>
    </row>
    <row r="17" spans="1:8" ht="19.5" customHeight="1">
      <c r="A17" s="785" t="s">
        <v>940</v>
      </c>
      <c r="B17" s="785"/>
      <c r="C17" s="785"/>
      <c r="D17" s="785"/>
      <c r="E17" s="785"/>
      <c r="F17" s="785"/>
      <c r="G17" s="785"/>
      <c r="H17" s="785"/>
    </row>
    <row r="18" spans="1:8" ht="19.5" customHeight="1">
      <c r="A18" s="252" t="s">
        <v>246</v>
      </c>
      <c r="B18" s="95"/>
      <c r="C18" s="95"/>
      <c r="D18" s="95"/>
      <c r="E18" s="250">
        <v>3124030</v>
      </c>
      <c r="F18" s="95"/>
      <c r="G18" s="95"/>
      <c r="H18" s="95"/>
    </row>
    <row r="19" spans="1:8" ht="19.5" customHeight="1">
      <c r="A19" s="95"/>
      <c r="B19" s="871" t="s">
        <v>247</v>
      </c>
      <c r="C19" s="786"/>
      <c r="D19" s="786"/>
      <c r="E19" s="250">
        <f>E18-E20-E21</f>
        <v>2540800</v>
      </c>
      <c r="F19" s="95"/>
      <c r="G19" s="95"/>
      <c r="H19" s="95"/>
    </row>
    <row r="20" spans="1:8" ht="51.75" customHeight="1">
      <c r="A20" s="95"/>
      <c r="B20" s="872" t="s">
        <v>941</v>
      </c>
      <c r="C20" s="872"/>
      <c r="D20" s="872"/>
      <c r="E20" s="250">
        <v>183000</v>
      </c>
      <c r="F20" s="95"/>
      <c r="G20" s="95"/>
      <c r="H20" s="95"/>
    </row>
    <row r="21" spans="1:8" ht="38.25" customHeight="1">
      <c r="A21" s="95"/>
      <c r="B21" s="873" t="s">
        <v>248</v>
      </c>
      <c r="C21" s="873"/>
      <c r="D21" s="873"/>
      <c r="E21" s="250">
        <v>400230</v>
      </c>
      <c r="F21" s="95"/>
      <c r="G21" s="95"/>
      <c r="H21" s="95"/>
    </row>
    <row r="22" spans="1:8" ht="21" customHeight="1">
      <c r="A22" s="868" t="s">
        <v>249</v>
      </c>
      <c r="B22" s="868"/>
      <c r="C22" s="868"/>
      <c r="D22" s="868"/>
      <c r="E22" s="735">
        <f>E18</f>
        <v>3124030</v>
      </c>
      <c r="F22" s="78"/>
      <c r="G22" s="78"/>
      <c r="H22" s="78"/>
    </row>
    <row r="23" spans="1:8" ht="30.75" customHeight="1">
      <c r="A23" s="95" t="s">
        <v>942</v>
      </c>
      <c r="B23" s="95"/>
      <c r="C23" s="95"/>
      <c r="D23" s="95"/>
      <c r="E23" s="250"/>
      <c r="F23" s="95"/>
      <c r="G23" s="95"/>
      <c r="H23" s="95"/>
    </row>
    <row r="24" spans="1:9" ht="19.5" customHeight="1">
      <c r="A24" s="252" t="s">
        <v>246</v>
      </c>
      <c r="B24" s="95"/>
      <c r="C24" s="95"/>
      <c r="D24" s="95"/>
      <c r="E24" s="250">
        <v>1841539.12</v>
      </c>
      <c r="F24" s="95"/>
      <c r="G24" s="95"/>
      <c r="H24" s="95"/>
      <c r="I24" s="736"/>
    </row>
    <row r="25" spans="1:8" ht="19.5" customHeight="1">
      <c r="A25" s="95"/>
      <c r="B25" s="871" t="s">
        <v>247</v>
      </c>
      <c r="C25" s="786"/>
      <c r="D25" s="786"/>
      <c r="E25" s="250">
        <f>E24-E26-E27</f>
        <v>1532695.4600000002</v>
      </c>
      <c r="F25" s="95"/>
      <c r="G25" s="95"/>
      <c r="H25" s="95"/>
    </row>
    <row r="26" spans="1:8" ht="47.25" customHeight="1">
      <c r="A26" s="95"/>
      <c r="B26" s="872" t="s">
        <v>941</v>
      </c>
      <c r="C26" s="872"/>
      <c r="D26" s="872"/>
      <c r="E26" s="250">
        <v>123096</v>
      </c>
      <c r="F26" s="95"/>
      <c r="G26" s="95"/>
      <c r="H26" s="95"/>
    </row>
    <row r="27" spans="1:8" ht="39.75" customHeight="1">
      <c r="A27" s="95"/>
      <c r="B27" s="873" t="s">
        <v>250</v>
      </c>
      <c r="C27" s="870"/>
      <c r="D27" s="870"/>
      <c r="E27" s="250">
        <v>185747.66</v>
      </c>
      <c r="F27" s="95"/>
      <c r="G27" s="95"/>
      <c r="H27" s="95"/>
    </row>
    <row r="28" spans="1:8" ht="22.5" customHeight="1">
      <c r="A28" s="868" t="s">
        <v>249</v>
      </c>
      <c r="B28" s="868"/>
      <c r="C28" s="868"/>
      <c r="D28" s="868"/>
      <c r="E28" s="735">
        <v>1672667.87</v>
      </c>
      <c r="F28" s="78"/>
      <c r="G28" s="78"/>
      <c r="H28" s="78"/>
    </row>
    <row r="29" spans="1:8" ht="22.5" customHeight="1">
      <c r="A29" s="102"/>
      <c r="B29" s="95" t="s">
        <v>943</v>
      </c>
      <c r="C29" s="102"/>
      <c r="D29" s="102"/>
      <c r="E29" s="735">
        <f>SUM(E30:E31)</f>
        <v>126084.71</v>
      </c>
      <c r="F29" s="78"/>
      <c r="G29" s="78"/>
      <c r="H29" s="78"/>
    </row>
    <row r="30" spans="1:8" ht="19.5" customHeight="1">
      <c r="A30" s="95"/>
      <c r="B30" s="737" t="s">
        <v>944</v>
      </c>
      <c r="C30" s="95"/>
      <c r="D30" s="95"/>
      <c r="E30" s="250">
        <v>2988.71</v>
      </c>
      <c r="F30" s="95"/>
      <c r="G30" s="95"/>
      <c r="H30" s="95"/>
    </row>
    <row r="31" spans="1:8" ht="19.5" customHeight="1">
      <c r="A31" s="95"/>
      <c r="B31" s="737" t="s">
        <v>945</v>
      </c>
      <c r="C31" s="95"/>
      <c r="D31" s="95"/>
      <c r="E31" s="250">
        <v>123096</v>
      </c>
      <c r="F31" s="95"/>
      <c r="G31" s="95"/>
      <c r="H31" s="95"/>
    </row>
    <row r="32" spans="1:8" ht="21" customHeight="1">
      <c r="A32" s="95" t="s">
        <v>581</v>
      </c>
      <c r="B32" s="95"/>
      <c r="C32" s="95"/>
      <c r="D32" s="95"/>
      <c r="E32" s="250"/>
      <c r="F32" s="95"/>
      <c r="G32" s="95"/>
      <c r="H32" s="95"/>
    </row>
    <row r="33" ht="21" customHeight="1">
      <c r="A33" s="95"/>
    </row>
    <row r="34" ht="21.75" customHeight="1">
      <c r="A34" s="95"/>
    </row>
  </sheetData>
  <mergeCells count="23">
    <mergeCell ref="B21:D21"/>
    <mergeCell ref="B26:D26"/>
    <mergeCell ref="B27:D27"/>
    <mergeCell ref="A22:D22"/>
    <mergeCell ref="B25:D25"/>
    <mergeCell ref="A13:H13"/>
    <mergeCell ref="A14:H14"/>
    <mergeCell ref="A15:H15"/>
    <mergeCell ref="B20:D20"/>
    <mergeCell ref="A9:H9"/>
    <mergeCell ref="A10:H10"/>
    <mergeCell ref="A11:H11"/>
    <mergeCell ref="A12:H12"/>
    <mergeCell ref="E1:F1"/>
    <mergeCell ref="A28:D28"/>
    <mergeCell ref="A2:H2"/>
    <mergeCell ref="A7:H7"/>
    <mergeCell ref="A17:H17"/>
    <mergeCell ref="B19:D19"/>
    <mergeCell ref="A3:H3"/>
    <mergeCell ref="A4:H4"/>
    <mergeCell ref="A5:H5"/>
    <mergeCell ref="A8:H8"/>
  </mergeCells>
  <printOptions horizontalCentered="1"/>
  <pageMargins left="0.15748031496062992" right="0.15748031496062992" top="0.3937007874015748" bottom="0.15748031496062992" header="0.15748031496062992" footer="0.1574803149606299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AA40"/>
  <sheetViews>
    <sheetView zoomScale="150" zoomScaleNormal="150" workbookViewId="0" topLeftCell="A22">
      <selection activeCell="A1" sqref="A1:AA40"/>
    </sheetView>
  </sheetViews>
  <sheetFormatPr defaultColWidth="9.140625" defaultRowHeight="12.75"/>
  <cols>
    <col min="1" max="1" width="5.28125" style="253" customWidth="1"/>
    <col min="2" max="2" width="6.421875" style="253" customWidth="1"/>
    <col min="3" max="3" width="4.421875" style="254" bestFit="1" customWidth="1"/>
    <col min="4" max="4" width="33.28125" style="255" customWidth="1"/>
    <col min="5" max="5" width="14.00390625" style="256" hidden="1" customWidth="1"/>
    <col min="6" max="6" width="16.28125" style="256" hidden="1" customWidth="1"/>
    <col min="7" max="7" width="13.00390625" style="256" hidden="1" customWidth="1"/>
    <col min="8" max="9" width="10.28125" style="256" hidden="1" customWidth="1"/>
    <col min="10" max="10" width="12.00390625" style="256" hidden="1" customWidth="1"/>
    <col min="11" max="11" width="14.7109375" style="256" hidden="1" customWidth="1"/>
    <col min="12" max="12" width="13.140625" style="256" customWidth="1"/>
    <col min="13" max="19" width="9.140625" style="257" hidden="1" customWidth="1"/>
    <col min="20" max="24" width="10.00390625" style="257" hidden="1" customWidth="1"/>
    <col min="25" max="25" width="10.421875" style="257" bestFit="1" customWidth="1"/>
    <col min="26" max="26" width="8.7109375" style="392" bestFit="1" customWidth="1"/>
    <col min="27" max="27" width="49.140625" style="260" customWidth="1"/>
    <col min="28" max="16384" width="9.140625" style="255" customWidth="1"/>
  </cols>
  <sheetData>
    <row r="1" ht="12.75">
      <c r="AA1" s="257" t="s">
        <v>414</v>
      </c>
    </row>
    <row r="2" spans="7:27" ht="54" customHeight="1" hidden="1">
      <c r="G2" s="649"/>
      <c r="L2" s="649" t="s">
        <v>895</v>
      </c>
      <c r="AA2" s="257" t="s">
        <v>894</v>
      </c>
    </row>
    <row r="3" spans="1:27" ht="32.25" customHeight="1">
      <c r="A3" s="650" t="s">
        <v>769</v>
      </c>
      <c r="B3" s="650"/>
      <c r="C3" s="650"/>
      <c r="D3" s="650"/>
      <c r="E3" s="650"/>
      <c r="F3" s="650"/>
      <c r="G3" s="650"/>
      <c r="H3" s="650"/>
      <c r="I3" s="650"/>
      <c r="J3" s="650"/>
      <c r="K3" s="650"/>
      <c r="L3" s="650"/>
      <c r="M3" s="650"/>
      <c r="N3" s="650"/>
      <c r="O3" s="650"/>
      <c r="P3" s="650"/>
      <c r="Q3" s="650"/>
      <c r="R3" s="650"/>
      <c r="S3" s="650"/>
      <c r="T3" s="650"/>
      <c r="U3" s="650"/>
      <c r="V3" s="650"/>
      <c r="W3" s="650"/>
      <c r="X3" s="650"/>
      <c r="Y3" s="650"/>
      <c r="Z3" s="651"/>
      <c r="AA3" s="650"/>
    </row>
    <row r="4" spans="1:27" s="657" customFormat="1" ht="31.5" customHeight="1">
      <c r="A4" s="652" t="s">
        <v>135</v>
      </c>
      <c r="B4" s="652" t="s">
        <v>993</v>
      </c>
      <c r="C4" s="652" t="s">
        <v>137</v>
      </c>
      <c r="D4" s="653" t="s">
        <v>138</v>
      </c>
      <c r="E4" s="654" t="s">
        <v>896</v>
      </c>
      <c r="F4" s="654" t="s">
        <v>897</v>
      </c>
      <c r="G4" s="654" t="s">
        <v>898</v>
      </c>
      <c r="H4" s="655" t="s">
        <v>899</v>
      </c>
      <c r="I4" s="655" t="s">
        <v>900</v>
      </c>
      <c r="J4" s="655" t="s">
        <v>901</v>
      </c>
      <c r="K4" s="655" t="s">
        <v>902</v>
      </c>
      <c r="L4" s="654" t="s">
        <v>582</v>
      </c>
      <c r="M4" s="654" t="s">
        <v>141</v>
      </c>
      <c r="N4" s="654" t="s">
        <v>142</v>
      </c>
      <c r="O4" s="654" t="s">
        <v>143</v>
      </c>
      <c r="P4" s="654" t="s">
        <v>144</v>
      </c>
      <c r="Q4" s="654" t="s">
        <v>145</v>
      </c>
      <c r="R4" s="654" t="s">
        <v>146</v>
      </c>
      <c r="S4" s="654" t="s">
        <v>147</v>
      </c>
      <c r="T4" s="654" t="s">
        <v>148</v>
      </c>
      <c r="U4" s="654" t="s">
        <v>149</v>
      </c>
      <c r="V4" s="654" t="s">
        <v>150</v>
      </c>
      <c r="W4" s="654" t="s">
        <v>151</v>
      </c>
      <c r="X4" s="654" t="s">
        <v>152</v>
      </c>
      <c r="Y4" s="654" t="s">
        <v>235</v>
      </c>
      <c r="Z4" s="656" t="s">
        <v>153</v>
      </c>
      <c r="AA4" s="655" t="s">
        <v>796</v>
      </c>
    </row>
    <row r="5" spans="1:27" ht="22.5" customHeight="1">
      <c r="A5" s="658">
        <v>400</v>
      </c>
      <c r="B5" s="659"/>
      <c r="C5" s="660"/>
      <c r="D5" s="661" t="s">
        <v>583</v>
      </c>
      <c r="E5" s="662">
        <f aca="true" t="shared" si="0" ref="E5:K5">E6</f>
        <v>689470</v>
      </c>
      <c r="F5" s="662">
        <f t="shared" si="0"/>
        <v>0</v>
      </c>
      <c r="G5" s="662">
        <f t="shared" si="0"/>
        <v>689470</v>
      </c>
      <c r="H5" s="662">
        <f t="shared" si="0"/>
        <v>0</v>
      </c>
      <c r="I5" s="662">
        <f t="shared" si="0"/>
        <v>26100</v>
      </c>
      <c r="J5" s="662">
        <f t="shared" si="0"/>
        <v>0</v>
      </c>
      <c r="K5" s="662">
        <f t="shared" si="0"/>
        <v>5000</v>
      </c>
      <c r="L5" s="662">
        <f>SUM(L7:L10)</f>
        <v>720570</v>
      </c>
      <c r="M5" s="662">
        <f aca="true" t="shared" si="1" ref="M5:Y5">SUM(M7:M10)</f>
        <v>58922.380000000005</v>
      </c>
      <c r="N5" s="662">
        <f t="shared" si="1"/>
        <v>60608.009999999995</v>
      </c>
      <c r="O5" s="662">
        <f t="shared" si="1"/>
        <v>62599.14</v>
      </c>
      <c r="P5" s="662">
        <f t="shared" si="1"/>
        <v>49572.48999999999</v>
      </c>
      <c r="Q5" s="662">
        <f t="shared" si="1"/>
        <v>73197.28</v>
      </c>
      <c r="R5" s="662">
        <f t="shared" si="1"/>
        <v>67683.01000000001</v>
      </c>
      <c r="S5" s="662">
        <f t="shared" si="1"/>
        <v>0</v>
      </c>
      <c r="T5" s="662">
        <f t="shared" si="1"/>
        <v>0</v>
      </c>
      <c r="U5" s="662">
        <f t="shared" si="1"/>
        <v>0</v>
      </c>
      <c r="V5" s="662">
        <f t="shared" si="1"/>
        <v>0</v>
      </c>
      <c r="W5" s="662">
        <f t="shared" si="1"/>
        <v>0</v>
      </c>
      <c r="X5" s="662">
        <f t="shared" si="1"/>
        <v>0</v>
      </c>
      <c r="Y5" s="662">
        <f t="shared" si="1"/>
        <v>372582.30999999994</v>
      </c>
      <c r="Z5" s="663">
        <f aca="true" t="shared" si="2" ref="Z5:Z40">Y5/L5</f>
        <v>0.5170660865703539</v>
      </c>
      <c r="AA5" s="664"/>
    </row>
    <row r="6" spans="1:27" ht="16.5" customHeight="1">
      <c r="A6" s="652"/>
      <c r="B6" s="665">
        <v>40002</v>
      </c>
      <c r="C6" s="666"/>
      <c r="D6" s="667" t="s">
        <v>791</v>
      </c>
      <c r="E6" s="668">
        <f>SUM(E7:E10)</f>
        <v>689470</v>
      </c>
      <c r="F6" s="668">
        <f>SUM(F7:F10)</f>
        <v>0</v>
      </c>
      <c r="G6" s="668">
        <f>SUM(G7:G10)</f>
        <v>689470</v>
      </c>
      <c r="H6" s="668">
        <f aca="true" t="shared" si="3" ref="H6:Y6">SUM(H7:H10)</f>
        <v>0</v>
      </c>
      <c r="I6" s="668">
        <f t="shared" si="3"/>
        <v>26100</v>
      </c>
      <c r="J6" s="668">
        <f t="shared" si="3"/>
        <v>0</v>
      </c>
      <c r="K6" s="668">
        <f t="shared" si="3"/>
        <v>5000</v>
      </c>
      <c r="L6" s="668">
        <f t="shared" si="3"/>
        <v>720570</v>
      </c>
      <c r="M6" s="668">
        <f t="shared" si="3"/>
        <v>58922.380000000005</v>
      </c>
      <c r="N6" s="668">
        <f t="shared" si="3"/>
        <v>60608.009999999995</v>
      </c>
      <c r="O6" s="668">
        <f t="shared" si="3"/>
        <v>62599.14</v>
      </c>
      <c r="P6" s="668">
        <f t="shared" si="3"/>
        <v>49572.48999999999</v>
      </c>
      <c r="Q6" s="668">
        <f t="shared" si="3"/>
        <v>73197.28</v>
      </c>
      <c r="R6" s="668">
        <f t="shared" si="3"/>
        <v>67683.01000000001</v>
      </c>
      <c r="S6" s="668">
        <f t="shared" si="3"/>
        <v>0</v>
      </c>
      <c r="T6" s="668">
        <f t="shared" si="3"/>
        <v>0</v>
      </c>
      <c r="U6" s="668">
        <f t="shared" si="3"/>
        <v>0</v>
      </c>
      <c r="V6" s="668">
        <f t="shared" si="3"/>
        <v>0</v>
      </c>
      <c r="W6" s="668">
        <f t="shared" si="3"/>
        <v>0</v>
      </c>
      <c r="X6" s="668">
        <f t="shared" si="3"/>
        <v>0</v>
      </c>
      <c r="Y6" s="669">
        <f t="shared" si="3"/>
        <v>372582.30999999994</v>
      </c>
      <c r="Z6" s="670">
        <f t="shared" si="2"/>
        <v>0.5170660865703539</v>
      </c>
      <c r="AA6" s="874" t="s">
        <v>903</v>
      </c>
    </row>
    <row r="7" spans="1:27" ht="16.5" customHeight="1">
      <c r="A7" s="652"/>
      <c r="B7" s="671"/>
      <c r="C7" s="672" t="s">
        <v>357</v>
      </c>
      <c r="D7" s="673" t="s">
        <v>358</v>
      </c>
      <c r="E7" s="674">
        <f>30*1028+23000*2.45+300</f>
        <v>87490</v>
      </c>
      <c r="F7" s="674"/>
      <c r="G7" s="674">
        <f>E7+F7</f>
        <v>87490</v>
      </c>
      <c r="H7" s="674">
        <v>-56350</v>
      </c>
      <c r="I7" s="674">
        <v>6000</v>
      </c>
      <c r="J7" s="674"/>
      <c r="K7" s="674">
        <v>5000</v>
      </c>
      <c r="L7" s="674">
        <f>SUM(G7:K7)</f>
        <v>42140</v>
      </c>
      <c r="M7" s="674">
        <v>4394</v>
      </c>
      <c r="N7" s="674">
        <v>4610.45</v>
      </c>
      <c r="O7" s="674">
        <v>11958.24</v>
      </c>
      <c r="P7" s="674">
        <v>1592</v>
      </c>
      <c r="Q7" s="674">
        <v>14809.03</v>
      </c>
      <c r="R7" s="674">
        <v>5493.88</v>
      </c>
      <c r="S7" s="674"/>
      <c r="T7" s="674"/>
      <c r="U7" s="674"/>
      <c r="V7" s="674"/>
      <c r="W7" s="674"/>
      <c r="X7" s="674"/>
      <c r="Y7" s="675">
        <f>SUM(M7:X7)</f>
        <v>42857.6</v>
      </c>
      <c r="Z7" s="676">
        <f t="shared" si="2"/>
        <v>1.0170289511153299</v>
      </c>
      <c r="AA7" s="875"/>
    </row>
    <row r="8" spans="1:27" ht="16.5" customHeight="1">
      <c r="A8" s="652"/>
      <c r="B8" s="671"/>
      <c r="C8" s="672" t="s">
        <v>550</v>
      </c>
      <c r="D8" s="673" t="s">
        <v>551</v>
      </c>
      <c r="E8" s="674">
        <f>262000*2.29</f>
        <v>599980</v>
      </c>
      <c r="F8" s="674"/>
      <c r="G8" s="674">
        <f>E8+F8</f>
        <v>599980</v>
      </c>
      <c r="H8" s="674"/>
      <c r="I8" s="674">
        <v>19600</v>
      </c>
      <c r="J8" s="674"/>
      <c r="K8" s="674"/>
      <c r="L8" s="674">
        <f>SUM(G8:K8)</f>
        <v>619580</v>
      </c>
      <c r="M8" s="674">
        <v>50181.91</v>
      </c>
      <c r="N8" s="674">
        <v>50497.46</v>
      </c>
      <c r="O8" s="674">
        <v>45255.04</v>
      </c>
      <c r="P8" s="674">
        <v>42568.77</v>
      </c>
      <c r="Q8" s="674">
        <v>53589.8</v>
      </c>
      <c r="R8" s="674">
        <v>56797.37</v>
      </c>
      <c r="S8" s="674"/>
      <c r="T8" s="674"/>
      <c r="U8" s="674"/>
      <c r="V8" s="674"/>
      <c r="W8" s="674"/>
      <c r="X8" s="674"/>
      <c r="Y8" s="675">
        <f>SUM(M8:X8)</f>
        <v>298890.35</v>
      </c>
      <c r="Z8" s="676">
        <f t="shared" si="2"/>
        <v>0.4824080021950353</v>
      </c>
      <c r="AA8" s="875"/>
    </row>
    <row r="9" spans="1:27" ht="16.5" customHeight="1">
      <c r="A9" s="652"/>
      <c r="B9" s="671"/>
      <c r="C9" s="672" t="s">
        <v>184</v>
      </c>
      <c r="D9" s="673" t="s">
        <v>185</v>
      </c>
      <c r="E9" s="674">
        <v>1000</v>
      </c>
      <c r="F9" s="674"/>
      <c r="G9" s="674">
        <f>E9+F9</f>
        <v>1000</v>
      </c>
      <c r="H9" s="674"/>
      <c r="I9" s="674">
        <v>500</v>
      </c>
      <c r="J9" s="674"/>
      <c r="K9" s="674"/>
      <c r="L9" s="674">
        <f>SUM(G9:K9)</f>
        <v>1500</v>
      </c>
      <c r="M9" s="674">
        <v>57.22</v>
      </c>
      <c r="N9" s="674">
        <v>121.21</v>
      </c>
      <c r="O9" s="674">
        <v>758.56</v>
      </c>
      <c r="P9" s="674">
        <v>133.52</v>
      </c>
      <c r="Q9" s="674">
        <v>109.05</v>
      </c>
      <c r="R9" s="674">
        <v>36.76</v>
      </c>
      <c r="S9" s="674"/>
      <c r="T9" s="674"/>
      <c r="U9" s="674"/>
      <c r="V9" s="674"/>
      <c r="W9" s="674"/>
      <c r="X9" s="674"/>
      <c r="Y9" s="675">
        <f>SUM(M9:X9)</f>
        <v>1216.32</v>
      </c>
      <c r="Z9" s="676">
        <f t="shared" si="2"/>
        <v>0.8108799999999999</v>
      </c>
      <c r="AA9" s="875"/>
    </row>
    <row r="10" spans="1:27" ht="16.5" customHeight="1">
      <c r="A10" s="652"/>
      <c r="B10" s="671"/>
      <c r="C10" s="672" t="s">
        <v>159</v>
      </c>
      <c r="D10" s="673" t="s">
        <v>160</v>
      </c>
      <c r="E10" s="674">
        <v>1000</v>
      </c>
      <c r="F10" s="674"/>
      <c r="G10" s="674">
        <f>E10+F10</f>
        <v>1000</v>
      </c>
      <c r="H10" s="674">
        <f>-H7</f>
        <v>56350</v>
      </c>
      <c r="I10" s="674"/>
      <c r="J10" s="674"/>
      <c r="K10" s="674"/>
      <c r="L10" s="674">
        <f>SUM(G10:K10)</f>
        <v>57350</v>
      </c>
      <c r="M10" s="674">
        <v>4289.25</v>
      </c>
      <c r="N10" s="674">
        <v>5378.89</v>
      </c>
      <c r="O10" s="674">
        <v>4627.3</v>
      </c>
      <c r="P10" s="674">
        <v>5278.2</v>
      </c>
      <c r="Q10" s="674">
        <v>4689.4</v>
      </c>
      <c r="R10" s="674">
        <v>5355</v>
      </c>
      <c r="S10" s="674"/>
      <c r="T10" s="674"/>
      <c r="U10" s="674"/>
      <c r="V10" s="674"/>
      <c r="W10" s="674"/>
      <c r="X10" s="674"/>
      <c r="Y10" s="675">
        <f>SUM(M10:X10)</f>
        <v>29618.04</v>
      </c>
      <c r="Z10" s="676">
        <f t="shared" si="2"/>
        <v>0.5164435919790759</v>
      </c>
      <c r="AA10" s="875"/>
    </row>
    <row r="11" spans="1:27" s="259" customFormat="1" ht="18.75" customHeight="1">
      <c r="A11" s="659">
        <v>600</v>
      </c>
      <c r="B11" s="658"/>
      <c r="C11" s="677"/>
      <c r="D11" s="661" t="s">
        <v>169</v>
      </c>
      <c r="E11" s="678">
        <f aca="true" t="shared" si="4" ref="E11:K12">SUM(E12)</f>
        <v>209000</v>
      </c>
      <c r="F11" s="678">
        <f t="shared" si="4"/>
        <v>-60000</v>
      </c>
      <c r="G11" s="678">
        <f t="shared" si="4"/>
        <v>149000</v>
      </c>
      <c r="H11" s="678">
        <f t="shared" si="4"/>
        <v>0</v>
      </c>
      <c r="I11" s="678">
        <f t="shared" si="4"/>
        <v>0</v>
      </c>
      <c r="J11" s="678">
        <f t="shared" si="4"/>
        <v>0</v>
      </c>
      <c r="K11" s="678">
        <f t="shared" si="4"/>
        <v>77300</v>
      </c>
      <c r="L11" s="678">
        <f>SUM(L12)</f>
        <v>226300</v>
      </c>
      <c r="M11" s="678">
        <f aca="true" t="shared" si="5" ref="M11:Y12">SUM(M12)</f>
        <v>0</v>
      </c>
      <c r="N11" s="678">
        <f t="shared" si="5"/>
        <v>25000</v>
      </c>
      <c r="O11" s="678">
        <f t="shared" si="5"/>
        <v>20000</v>
      </c>
      <c r="P11" s="678">
        <f t="shared" si="5"/>
        <v>30000</v>
      </c>
      <c r="Q11" s="678">
        <f t="shared" si="5"/>
        <v>0</v>
      </c>
      <c r="R11" s="678">
        <f t="shared" si="5"/>
        <v>30000</v>
      </c>
      <c r="S11" s="678">
        <f t="shared" si="5"/>
        <v>0</v>
      </c>
      <c r="T11" s="678">
        <f t="shared" si="5"/>
        <v>0</v>
      </c>
      <c r="U11" s="678">
        <f t="shared" si="5"/>
        <v>0</v>
      </c>
      <c r="V11" s="678">
        <f t="shared" si="5"/>
        <v>0</v>
      </c>
      <c r="W11" s="678">
        <f t="shared" si="5"/>
        <v>0</v>
      </c>
      <c r="X11" s="678">
        <f t="shared" si="5"/>
        <v>0</v>
      </c>
      <c r="Y11" s="678">
        <f t="shared" si="5"/>
        <v>105000</v>
      </c>
      <c r="Z11" s="663">
        <f t="shared" si="2"/>
        <v>0.4639858594785683</v>
      </c>
      <c r="AA11" s="679"/>
    </row>
    <row r="12" spans="1:27" s="259" customFormat="1" ht="18.75" customHeight="1">
      <c r="A12" s="652"/>
      <c r="B12" s="665">
        <v>60016</v>
      </c>
      <c r="C12" s="680"/>
      <c r="D12" s="667" t="s">
        <v>904</v>
      </c>
      <c r="E12" s="668">
        <f t="shared" si="4"/>
        <v>209000</v>
      </c>
      <c r="F12" s="668">
        <f t="shared" si="4"/>
        <v>-60000</v>
      </c>
      <c r="G12" s="668">
        <f t="shared" si="4"/>
        <v>149000</v>
      </c>
      <c r="H12" s="668">
        <f t="shared" si="4"/>
        <v>0</v>
      </c>
      <c r="I12" s="668">
        <f t="shared" si="4"/>
        <v>0</v>
      </c>
      <c r="J12" s="668">
        <f t="shared" si="4"/>
        <v>0</v>
      </c>
      <c r="K12" s="668">
        <f t="shared" si="4"/>
        <v>77300</v>
      </c>
      <c r="L12" s="668">
        <f>SUM(L13)</f>
        <v>226300</v>
      </c>
      <c r="M12" s="668">
        <f t="shared" si="5"/>
        <v>0</v>
      </c>
      <c r="N12" s="668">
        <f t="shared" si="5"/>
        <v>25000</v>
      </c>
      <c r="O12" s="668">
        <f t="shared" si="5"/>
        <v>20000</v>
      </c>
      <c r="P12" s="668">
        <f t="shared" si="5"/>
        <v>30000</v>
      </c>
      <c r="Q12" s="668">
        <f t="shared" si="5"/>
        <v>0</v>
      </c>
      <c r="R12" s="668">
        <f t="shared" si="5"/>
        <v>30000</v>
      </c>
      <c r="S12" s="668">
        <f t="shared" si="5"/>
        <v>0</v>
      </c>
      <c r="T12" s="668">
        <f t="shared" si="5"/>
        <v>0</v>
      </c>
      <c r="U12" s="668">
        <f t="shared" si="5"/>
        <v>0</v>
      </c>
      <c r="V12" s="668">
        <f t="shared" si="5"/>
        <v>0</v>
      </c>
      <c r="W12" s="668">
        <f t="shared" si="5"/>
        <v>0</v>
      </c>
      <c r="X12" s="668">
        <f t="shared" si="5"/>
        <v>0</v>
      </c>
      <c r="Y12" s="669">
        <f t="shared" si="5"/>
        <v>105000</v>
      </c>
      <c r="Z12" s="670">
        <f t="shared" si="2"/>
        <v>0.4639858594785683</v>
      </c>
      <c r="AA12" s="874" t="s">
        <v>905</v>
      </c>
    </row>
    <row r="13" spans="1:27" ht="18.75" customHeight="1">
      <c r="A13" s="652"/>
      <c r="B13" s="671"/>
      <c r="C13" s="672">
        <v>2650</v>
      </c>
      <c r="D13" s="673" t="s">
        <v>792</v>
      </c>
      <c r="E13" s="674">
        <v>209000</v>
      </c>
      <c r="F13" s="674">
        <v>-60000</v>
      </c>
      <c r="G13" s="674">
        <f>E13+F13</f>
        <v>149000</v>
      </c>
      <c r="H13" s="674"/>
      <c r="I13" s="674"/>
      <c r="J13" s="674"/>
      <c r="K13" s="674">
        <v>77300</v>
      </c>
      <c r="L13" s="674">
        <f>SUM(G13:K13)</f>
        <v>226300</v>
      </c>
      <c r="M13" s="674"/>
      <c r="N13" s="674">
        <v>25000</v>
      </c>
      <c r="O13" s="674">
        <v>20000</v>
      </c>
      <c r="P13" s="674">
        <v>30000</v>
      </c>
      <c r="Q13" s="674"/>
      <c r="R13" s="674">
        <v>30000</v>
      </c>
      <c r="S13" s="674"/>
      <c r="T13" s="674"/>
      <c r="U13" s="674"/>
      <c r="V13" s="674"/>
      <c r="W13" s="674"/>
      <c r="X13" s="674"/>
      <c r="Y13" s="675">
        <f>SUM(M13:X13)</f>
        <v>105000</v>
      </c>
      <c r="Z13" s="676">
        <f t="shared" si="2"/>
        <v>0.4639858594785683</v>
      </c>
      <c r="AA13" s="874"/>
    </row>
    <row r="14" spans="1:27" ht="18" customHeight="1">
      <c r="A14" s="659">
        <v>700</v>
      </c>
      <c r="B14" s="659"/>
      <c r="C14" s="660"/>
      <c r="D14" s="661" t="s">
        <v>175</v>
      </c>
      <c r="E14" s="662">
        <f aca="true" t="shared" si="6" ref="E14:K14">E15</f>
        <v>329900</v>
      </c>
      <c r="F14" s="662">
        <f t="shared" si="6"/>
        <v>0</v>
      </c>
      <c r="G14" s="662">
        <f t="shared" si="6"/>
        <v>329900</v>
      </c>
      <c r="H14" s="662">
        <f t="shared" si="6"/>
        <v>0</v>
      </c>
      <c r="I14" s="662">
        <f t="shared" si="6"/>
        <v>25750</v>
      </c>
      <c r="J14" s="662">
        <f t="shared" si="6"/>
        <v>0</v>
      </c>
      <c r="K14" s="662">
        <f t="shared" si="6"/>
        <v>0</v>
      </c>
      <c r="L14" s="662">
        <f>SUM(L16:L20)</f>
        <v>355650</v>
      </c>
      <c r="M14" s="662">
        <f>SUM(M16:M20)</f>
        <v>33254.44</v>
      </c>
      <c r="N14" s="662">
        <f>SUM(N16:N20)</f>
        <v>32089.62</v>
      </c>
      <c r="O14" s="662">
        <f>SUM(O16:O20)</f>
        <v>30065.179999999997</v>
      </c>
      <c r="P14" s="662">
        <f>SUM(P16:P20)</f>
        <v>31596.440000000002</v>
      </c>
      <c r="Q14" s="662">
        <f aca="true" t="shared" si="7" ref="Q14:Y14">SUM(Q16:Q20)</f>
        <v>29554.24</v>
      </c>
      <c r="R14" s="662">
        <f t="shared" si="7"/>
        <v>28758.24</v>
      </c>
      <c r="S14" s="662">
        <f t="shared" si="7"/>
        <v>0</v>
      </c>
      <c r="T14" s="662">
        <f t="shared" si="7"/>
        <v>0</v>
      </c>
      <c r="U14" s="662">
        <f t="shared" si="7"/>
        <v>0</v>
      </c>
      <c r="V14" s="662">
        <f t="shared" si="7"/>
        <v>0</v>
      </c>
      <c r="W14" s="662">
        <f t="shared" si="7"/>
        <v>0</v>
      </c>
      <c r="X14" s="662">
        <f t="shared" si="7"/>
        <v>0</v>
      </c>
      <c r="Y14" s="662">
        <f t="shared" si="7"/>
        <v>185318.16</v>
      </c>
      <c r="Z14" s="663">
        <f t="shared" si="2"/>
        <v>0.5210689160691692</v>
      </c>
      <c r="AA14" s="681"/>
    </row>
    <row r="15" spans="1:27" ht="16.5" customHeight="1">
      <c r="A15" s="652"/>
      <c r="B15" s="652">
        <v>70005</v>
      </c>
      <c r="C15" s="666"/>
      <c r="D15" s="667" t="s">
        <v>176</v>
      </c>
      <c r="E15" s="682">
        <f>SUM(E16:E20)</f>
        <v>329900</v>
      </c>
      <c r="F15" s="682">
        <f>SUM(F16:F20)</f>
        <v>0</v>
      </c>
      <c r="G15" s="682">
        <f>SUM(G16:G20)</f>
        <v>329900</v>
      </c>
      <c r="H15" s="682">
        <f aca="true" t="shared" si="8" ref="H15:Y15">SUM(H16:H20)</f>
        <v>0</v>
      </c>
      <c r="I15" s="682">
        <f t="shared" si="8"/>
        <v>25750</v>
      </c>
      <c r="J15" s="682">
        <f t="shared" si="8"/>
        <v>0</v>
      </c>
      <c r="K15" s="682">
        <f t="shared" si="8"/>
        <v>0</v>
      </c>
      <c r="L15" s="682">
        <f t="shared" si="8"/>
        <v>355650</v>
      </c>
      <c r="M15" s="682">
        <f t="shared" si="8"/>
        <v>33254.44</v>
      </c>
      <c r="N15" s="682">
        <f t="shared" si="8"/>
        <v>32089.62</v>
      </c>
      <c r="O15" s="682">
        <f t="shared" si="8"/>
        <v>30065.179999999997</v>
      </c>
      <c r="P15" s="682">
        <f t="shared" si="8"/>
        <v>31596.440000000002</v>
      </c>
      <c r="Q15" s="682">
        <f t="shared" si="8"/>
        <v>29554.24</v>
      </c>
      <c r="R15" s="682">
        <f t="shared" si="8"/>
        <v>28758.24</v>
      </c>
      <c r="S15" s="682">
        <f t="shared" si="8"/>
        <v>0</v>
      </c>
      <c r="T15" s="682">
        <f t="shared" si="8"/>
        <v>0</v>
      </c>
      <c r="U15" s="682">
        <f t="shared" si="8"/>
        <v>0</v>
      </c>
      <c r="V15" s="682">
        <f t="shared" si="8"/>
        <v>0</v>
      </c>
      <c r="W15" s="682">
        <f t="shared" si="8"/>
        <v>0</v>
      </c>
      <c r="X15" s="682">
        <f t="shared" si="8"/>
        <v>0</v>
      </c>
      <c r="Y15" s="669">
        <f t="shared" si="8"/>
        <v>185318.16</v>
      </c>
      <c r="Z15" s="670">
        <f t="shared" si="2"/>
        <v>0.5210689160691692</v>
      </c>
      <c r="AA15" s="876" t="s">
        <v>906</v>
      </c>
    </row>
    <row r="16" spans="1:27" ht="16.5" customHeight="1">
      <c r="A16" s="652"/>
      <c r="B16" s="683"/>
      <c r="C16" s="672" t="s">
        <v>357</v>
      </c>
      <c r="D16" s="673" t="s">
        <v>358</v>
      </c>
      <c r="E16" s="684">
        <v>100</v>
      </c>
      <c r="F16" s="684"/>
      <c r="G16" s="674">
        <f>E16+F16</f>
        <v>100</v>
      </c>
      <c r="H16" s="684"/>
      <c r="I16" s="684"/>
      <c r="J16" s="684"/>
      <c r="K16" s="684"/>
      <c r="L16" s="674">
        <f>SUM(G16:K16)</f>
        <v>100</v>
      </c>
      <c r="M16" s="674"/>
      <c r="N16" s="674">
        <v>0</v>
      </c>
      <c r="O16" s="674"/>
      <c r="P16" s="674">
        <v>5.16</v>
      </c>
      <c r="Q16" s="674">
        <v>6</v>
      </c>
      <c r="R16" s="674"/>
      <c r="S16" s="674"/>
      <c r="T16" s="674"/>
      <c r="U16" s="674"/>
      <c r="V16" s="674"/>
      <c r="W16" s="674"/>
      <c r="X16" s="674"/>
      <c r="Y16" s="675">
        <f>SUM(M16:X16)</f>
        <v>11.16</v>
      </c>
      <c r="Z16" s="676">
        <f t="shared" si="2"/>
        <v>0.1116</v>
      </c>
      <c r="AA16" s="876"/>
    </row>
    <row r="17" spans="1:27" ht="72">
      <c r="A17" s="652"/>
      <c r="B17" s="683"/>
      <c r="C17" s="672" t="s">
        <v>163</v>
      </c>
      <c r="D17" s="673" t="s">
        <v>164</v>
      </c>
      <c r="E17" s="684">
        <v>163700</v>
      </c>
      <c r="F17" s="684"/>
      <c r="G17" s="674">
        <f>E17+F17</f>
        <v>163700</v>
      </c>
      <c r="H17" s="684"/>
      <c r="I17" s="684"/>
      <c r="J17" s="684"/>
      <c r="K17" s="684"/>
      <c r="L17" s="674">
        <f>SUM(G17:K17)</f>
        <v>163700</v>
      </c>
      <c r="M17" s="674">
        <v>13353.25</v>
      </c>
      <c r="N17" s="674">
        <v>13621.01</v>
      </c>
      <c r="O17" s="674">
        <v>13005.92</v>
      </c>
      <c r="P17" s="674">
        <v>14317.78</v>
      </c>
      <c r="Q17" s="674">
        <v>13666.26</v>
      </c>
      <c r="R17" s="674">
        <v>13652.99</v>
      </c>
      <c r="S17" s="674"/>
      <c r="T17" s="674"/>
      <c r="U17" s="674"/>
      <c r="V17" s="674"/>
      <c r="W17" s="674"/>
      <c r="X17" s="674"/>
      <c r="Y17" s="675">
        <f>SUM(M17:X17)</f>
        <v>81617.21</v>
      </c>
      <c r="Z17" s="676">
        <f t="shared" si="2"/>
        <v>0.4985779474648748</v>
      </c>
      <c r="AA17" s="876"/>
    </row>
    <row r="18" spans="1:27" ht="16.5" customHeight="1">
      <c r="A18" s="652"/>
      <c r="B18" s="683"/>
      <c r="C18" s="672" t="s">
        <v>550</v>
      </c>
      <c r="D18" s="673" t="s">
        <v>551</v>
      </c>
      <c r="E18" s="684">
        <v>160000</v>
      </c>
      <c r="F18" s="684"/>
      <c r="G18" s="674">
        <f>E18+F18</f>
        <v>160000</v>
      </c>
      <c r="H18" s="684"/>
      <c r="I18" s="684">
        <v>25750</v>
      </c>
      <c r="J18" s="684"/>
      <c r="K18" s="684"/>
      <c r="L18" s="674">
        <f>SUM(G18:K18)</f>
        <v>185750</v>
      </c>
      <c r="M18" s="674">
        <v>18941.27</v>
      </c>
      <c r="N18" s="674">
        <v>17918.06</v>
      </c>
      <c r="O18" s="674">
        <v>16642.5</v>
      </c>
      <c r="P18" s="674">
        <v>16849.28</v>
      </c>
      <c r="Q18" s="674">
        <v>14622.81</v>
      </c>
      <c r="R18" s="674">
        <v>14558.91</v>
      </c>
      <c r="S18" s="674"/>
      <c r="T18" s="674"/>
      <c r="U18" s="674"/>
      <c r="V18" s="674"/>
      <c r="W18" s="674"/>
      <c r="X18" s="674"/>
      <c r="Y18" s="675">
        <f>SUM(M18:X18)</f>
        <v>99532.83</v>
      </c>
      <c r="Z18" s="676">
        <f t="shared" si="2"/>
        <v>0.5358429609690444</v>
      </c>
      <c r="AA18" s="876"/>
    </row>
    <row r="19" spans="1:27" ht="16.5" customHeight="1">
      <c r="A19" s="652"/>
      <c r="B19" s="683"/>
      <c r="C19" s="672" t="s">
        <v>184</v>
      </c>
      <c r="D19" s="673" t="s">
        <v>185</v>
      </c>
      <c r="E19" s="674">
        <v>100</v>
      </c>
      <c r="F19" s="674"/>
      <c r="G19" s="674">
        <f>E19+F19</f>
        <v>100</v>
      </c>
      <c r="H19" s="674"/>
      <c r="I19" s="674"/>
      <c r="J19" s="674"/>
      <c r="K19" s="674"/>
      <c r="L19" s="674">
        <f>SUM(G19:K19)</f>
        <v>100</v>
      </c>
      <c r="M19" s="674"/>
      <c r="N19" s="674"/>
      <c r="O19" s="674"/>
      <c r="P19" s="674"/>
      <c r="Q19" s="674">
        <v>11.49</v>
      </c>
      <c r="R19" s="674"/>
      <c r="S19" s="674"/>
      <c r="T19" s="674"/>
      <c r="U19" s="674"/>
      <c r="V19" s="674"/>
      <c r="W19" s="674"/>
      <c r="X19" s="674"/>
      <c r="Y19" s="675">
        <f>SUM(M19:X19)</f>
        <v>11.49</v>
      </c>
      <c r="Z19" s="676">
        <f t="shared" si="2"/>
        <v>0.1149</v>
      </c>
      <c r="AA19" s="876"/>
    </row>
    <row r="20" spans="1:27" ht="16.5" customHeight="1">
      <c r="A20" s="652"/>
      <c r="B20" s="683"/>
      <c r="C20" s="672" t="s">
        <v>159</v>
      </c>
      <c r="D20" s="673" t="s">
        <v>793</v>
      </c>
      <c r="E20" s="674">
        <v>6000</v>
      </c>
      <c r="F20" s="674"/>
      <c r="G20" s="674">
        <f>E20+F20</f>
        <v>6000</v>
      </c>
      <c r="H20" s="674"/>
      <c r="I20" s="674"/>
      <c r="J20" s="674"/>
      <c r="K20" s="674"/>
      <c r="L20" s="674">
        <f>SUM(G20:K20)</f>
        <v>6000</v>
      </c>
      <c r="M20" s="674">
        <v>959.92</v>
      </c>
      <c r="N20" s="674">
        <v>550.55</v>
      </c>
      <c r="O20" s="674">
        <v>416.76</v>
      </c>
      <c r="P20" s="674">
        <v>424.22</v>
      </c>
      <c r="Q20" s="674">
        <v>1247.68</v>
      </c>
      <c r="R20" s="674">
        <v>546.34</v>
      </c>
      <c r="S20" s="674"/>
      <c r="T20" s="674"/>
      <c r="U20" s="674"/>
      <c r="V20" s="674"/>
      <c r="W20" s="674"/>
      <c r="X20" s="674"/>
      <c r="Y20" s="675">
        <f>SUM(M20:X20)</f>
        <v>4145.47</v>
      </c>
      <c r="Z20" s="676">
        <f t="shared" si="2"/>
        <v>0.6909116666666667</v>
      </c>
      <c r="AA20" s="876"/>
    </row>
    <row r="21" spans="1:27" ht="18.75" customHeight="1">
      <c r="A21" s="659">
        <v>900</v>
      </c>
      <c r="B21" s="659"/>
      <c r="C21" s="660"/>
      <c r="D21" s="661" t="s">
        <v>979</v>
      </c>
      <c r="E21" s="662">
        <f>(E22+E26+E32+E34)</f>
        <v>1318406</v>
      </c>
      <c r="F21" s="662">
        <f>(F22+F26+F32+F34)</f>
        <v>32850</v>
      </c>
      <c r="G21" s="662">
        <f>(G22+G26+G32+G34)</f>
        <v>1351256</v>
      </c>
      <c r="H21" s="662">
        <f aca="true" t="shared" si="9" ref="H21:Y21">SUM(H22+H26+H32+H34)</f>
        <v>0</v>
      </c>
      <c r="I21" s="662">
        <f t="shared" si="9"/>
        <v>235254</v>
      </c>
      <c r="J21" s="662">
        <f t="shared" si="9"/>
        <v>0</v>
      </c>
      <c r="K21" s="662">
        <f t="shared" si="9"/>
        <v>235000</v>
      </c>
      <c r="L21" s="662">
        <f t="shared" si="9"/>
        <v>1821510</v>
      </c>
      <c r="M21" s="662">
        <f t="shared" si="9"/>
        <v>138974.90000000002</v>
      </c>
      <c r="N21" s="662">
        <f t="shared" si="9"/>
        <v>118371.6</v>
      </c>
      <c r="O21" s="662">
        <f t="shared" si="9"/>
        <v>150189.86000000002</v>
      </c>
      <c r="P21" s="662">
        <f t="shared" si="9"/>
        <v>121319.25</v>
      </c>
      <c r="Q21" s="662">
        <f t="shared" si="9"/>
        <v>346440.86</v>
      </c>
      <c r="R21" s="662">
        <f t="shared" si="9"/>
        <v>303342.18</v>
      </c>
      <c r="S21" s="662">
        <f t="shared" si="9"/>
        <v>0</v>
      </c>
      <c r="T21" s="662">
        <f t="shared" si="9"/>
        <v>0</v>
      </c>
      <c r="U21" s="662">
        <f t="shared" si="9"/>
        <v>0</v>
      </c>
      <c r="V21" s="662">
        <f t="shared" si="9"/>
        <v>0</v>
      </c>
      <c r="W21" s="662">
        <f t="shared" si="9"/>
        <v>0</v>
      </c>
      <c r="X21" s="662">
        <f t="shared" si="9"/>
        <v>0</v>
      </c>
      <c r="Y21" s="662">
        <f t="shared" si="9"/>
        <v>1178638.65</v>
      </c>
      <c r="Z21" s="663">
        <f t="shared" si="2"/>
        <v>0.6470668017194525</v>
      </c>
      <c r="AA21" s="679"/>
    </row>
    <row r="22" spans="1:27" ht="24" customHeight="1">
      <c r="A22" s="652"/>
      <c r="B22" s="652">
        <v>90001</v>
      </c>
      <c r="C22" s="666"/>
      <c r="D22" s="667" t="s">
        <v>751</v>
      </c>
      <c r="E22" s="668">
        <f>SUM(E23:E25)</f>
        <v>455416</v>
      </c>
      <c r="F22" s="668">
        <f>SUM(F23:F25)</f>
        <v>32850</v>
      </c>
      <c r="G22" s="668">
        <f>SUM(G23:G25)</f>
        <v>488266</v>
      </c>
      <c r="H22" s="668">
        <f aca="true" t="shared" si="10" ref="H22:Y22">SUM(H23:H25)</f>
        <v>0</v>
      </c>
      <c r="I22" s="668">
        <f t="shared" si="10"/>
        <v>15004</v>
      </c>
      <c r="J22" s="668">
        <f t="shared" si="10"/>
        <v>0</v>
      </c>
      <c r="K22" s="668">
        <f t="shared" si="10"/>
        <v>20000</v>
      </c>
      <c r="L22" s="668">
        <f t="shared" si="10"/>
        <v>523270</v>
      </c>
      <c r="M22" s="668">
        <f t="shared" si="10"/>
        <v>40544.43</v>
      </c>
      <c r="N22" s="668">
        <f t="shared" si="10"/>
        <v>60435.22</v>
      </c>
      <c r="O22" s="668">
        <f t="shared" si="10"/>
        <v>62172.34</v>
      </c>
      <c r="P22" s="668">
        <f t="shared" si="10"/>
        <v>51799.91</v>
      </c>
      <c r="Q22" s="668">
        <f t="shared" si="10"/>
        <v>47540.84</v>
      </c>
      <c r="R22" s="668">
        <f t="shared" si="10"/>
        <v>42830.66</v>
      </c>
      <c r="S22" s="668">
        <f t="shared" si="10"/>
        <v>0</v>
      </c>
      <c r="T22" s="668">
        <f t="shared" si="10"/>
        <v>0</v>
      </c>
      <c r="U22" s="668">
        <f t="shared" si="10"/>
        <v>0</v>
      </c>
      <c r="V22" s="668">
        <f t="shared" si="10"/>
        <v>0</v>
      </c>
      <c r="W22" s="668">
        <f t="shared" si="10"/>
        <v>0</v>
      </c>
      <c r="X22" s="668">
        <f t="shared" si="10"/>
        <v>0</v>
      </c>
      <c r="Y22" s="669">
        <f t="shared" si="10"/>
        <v>305323.4</v>
      </c>
      <c r="Z22" s="670">
        <f t="shared" si="2"/>
        <v>0.5834911231295508</v>
      </c>
      <c r="AA22" s="877" t="s">
        <v>907</v>
      </c>
    </row>
    <row r="23" spans="1:27" ht="24" customHeight="1">
      <c r="A23" s="652"/>
      <c r="B23" s="652"/>
      <c r="C23" s="672" t="s">
        <v>357</v>
      </c>
      <c r="D23" s="673" t="s">
        <v>358</v>
      </c>
      <c r="E23" s="674">
        <f>8*1542</f>
        <v>12336</v>
      </c>
      <c r="F23" s="674"/>
      <c r="G23" s="674">
        <f>E23+F23</f>
        <v>12336</v>
      </c>
      <c r="H23" s="674"/>
      <c r="I23" s="674">
        <v>6204</v>
      </c>
      <c r="J23" s="674"/>
      <c r="K23" s="674">
        <v>20000</v>
      </c>
      <c r="L23" s="674">
        <f>SUM(G23:K23)</f>
        <v>38540</v>
      </c>
      <c r="M23" s="674">
        <v>5513.92</v>
      </c>
      <c r="N23" s="674">
        <v>3224.25</v>
      </c>
      <c r="O23" s="674">
        <v>4766.25</v>
      </c>
      <c r="P23" s="674">
        <v>8130.87</v>
      </c>
      <c r="Q23" s="674">
        <v>9439.05</v>
      </c>
      <c r="R23" s="674">
        <v>1542</v>
      </c>
      <c r="S23" s="674"/>
      <c r="T23" s="674"/>
      <c r="U23" s="674"/>
      <c r="V23" s="674"/>
      <c r="W23" s="674"/>
      <c r="X23" s="674"/>
      <c r="Y23" s="675">
        <f>SUM(M23:X23)</f>
        <v>32616.34</v>
      </c>
      <c r="Z23" s="676">
        <f t="shared" si="2"/>
        <v>0.8462983912817852</v>
      </c>
      <c r="AA23" s="878"/>
    </row>
    <row r="24" spans="1:27" ht="24" customHeight="1">
      <c r="A24" s="652"/>
      <c r="B24" s="652"/>
      <c r="C24" s="672" t="s">
        <v>550</v>
      </c>
      <c r="D24" s="673" t="s">
        <v>551</v>
      </c>
      <c r="E24" s="684">
        <v>370000</v>
      </c>
      <c r="F24" s="684"/>
      <c r="G24" s="674">
        <f>E24+F24</f>
        <v>370000</v>
      </c>
      <c r="H24" s="674"/>
      <c r="I24" s="674">
        <v>8800</v>
      </c>
      <c r="J24" s="674"/>
      <c r="K24" s="674"/>
      <c r="L24" s="674">
        <f>SUM(G24:K24)</f>
        <v>378800</v>
      </c>
      <c r="M24" s="674">
        <v>35030.51</v>
      </c>
      <c r="N24" s="674">
        <v>33846.48</v>
      </c>
      <c r="O24" s="674">
        <v>29368.71</v>
      </c>
      <c r="P24" s="674">
        <v>34323.25</v>
      </c>
      <c r="Q24" s="674">
        <v>38101.79</v>
      </c>
      <c r="R24" s="674">
        <v>41288.66</v>
      </c>
      <c r="S24" s="674"/>
      <c r="T24" s="674"/>
      <c r="U24" s="674"/>
      <c r="V24" s="674"/>
      <c r="W24" s="674"/>
      <c r="X24" s="674"/>
      <c r="Y24" s="675">
        <f>SUM(M24:X24)</f>
        <v>211959.40000000002</v>
      </c>
      <c r="Z24" s="676">
        <f t="shared" si="2"/>
        <v>0.5595549102428723</v>
      </c>
      <c r="AA24" s="878"/>
    </row>
    <row r="25" spans="1:27" ht="24" customHeight="1">
      <c r="A25" s="652"/>
      <c r="B25" s="683"/>
      <c r="C25" s="672">
        <v>2650</v>
      </c>
      <c r="D25" s="673" t="s">
        <v>792</v>
      </c>
      <c r="E25" s="684">
        <v>73080</v>
      </c>
      <c r="F25" s="684">
        <v>32850</v>
      </c>
      <c r="G25" s="674">
        <f>E25+F25</f>
        <v>105930</v>
      </c>
      <c r="H25" s="674"/>
      <c r="I25" s="674"/>
      <c r="J25" s="674"/>
      <c r="K25" s="674"/>
      <c r="L25" s="674">
        <f>SUM(G25:K25)</f>
        <v>105930</v>
      </c>
      <c r="M25" s="674"/>
      <c r="N25" s="674">
        <v>23364.49</v>
      </c>
      <c r="O25" s="674">
        <v>28037.38</v>
      </c>
      <c r="P25" s="674">
        <v>9345.79</v>
      </c>
      <c r="Q25" s="674"/>
      <c r="R25" s="674"/>
      <c r="S25" s="674"/>
      <c r="T25" s="674"/>
      <c r="U25" s="674"/>
      <c r="V25" s="674"/>
      <c r="W25" s="674"/>
      <c r="X25" s="674"/>
      <c r="Y25" s="675">
        <f>SUM(M25:X25)</f>
        <v>60747.66</v>
      </c>
      <c r="Z25" s="676">
        <f t="shared" si="2"/>
        <v>0.5734698385726423</v>
      </c>
      <c r="AA25" s="879"/>
    </row>
    <row r="26" spans="1:27" s="259" customFormat="1" ht="16.5" customHeight="1">
      <c r="A26" s="652"/>
      <c r="B26" s="652">
        <v>90003</v>
      </c>
      <c r="C26" s="680"/>
      <c r="D26" s="667" t="s">
        <v>794</v>
      </c>
      <c r="E26" s="668">
        <f aca="true" t="shared" si="11" ref="E26:Y26">SUM(E27:E31)</f>
        <v>157100</v>
      </c>
      <c r="F26" s="668">
        <f t="shared" si="11"/>
        <v>0</v>
      </c>
      <c r="G26" s="668">
        <f t="shared" si="11"/>
        <v>157100</v>
      </c>
      <c r="H26" s="668">
        <f t="shared" si="11"/>
        <v>0</v>
      </c>
      <c r="I26" s="668">
        <f t="shared" si="11"/>
        <v>217200</v>
      </c>
      <c r="J26" s="668">
        <f t="shared" si="11"/>
        <v>0</v>
      </c>
      <c r="K26" s="668">
        <f t="shared" si="11"/>
        <v>15000</v>
      </c>
      <c r="L26" s="668">
        <f t="shared" si="11"/>
        <v>389300</v>
      </c>
      <c r="M26" s="668">
        <f t="shared" si="11"/>
        <v>18275.260000000002</v>
      </c>
      <c r="N26" s="668">
        <f t="shared" si="11"/>
        <v>17177.95</v>
      </c>
      <c r="O26" s="668">
        <f t="shared" si="11"/>
        <v>16146.13</v>
      </c>
      <c r="P26" s="668">
        <f t="shared" si="11"/>
        <v>17511.13</v>
      </c>
      <c r="Q26" s="668">
        <f t="shared" si="11"/>
        <v>208962.32</v>
      </c>
      <c r="R26" s="668">
        <f t="shared" si="11"/>
        <v>-41288.729999999996</v>
      </c>
      <c r="S26" s="668">
        <f t="shared" si="11"/>
        <v>0</v>
      </c>
      <c r="T26" s="668">
        <f t="shared" si="11"/>
        <v>0</v>
      </c>
      <c r="U26" s="668">
        <f t="shared" si="11"/>
        <v>0</v>
      </c>
      <c r="V26" s="668">
        <f t="shared" si="11"/>
        <v>0</v>
      </c>
      <c r="W26" s="668">
        <f t="shared" si="11"/>
        <v>0</v>
      </c>
      <c r="X26" s="668">
        <f t="shared" si="11"/>
        <v>0</v>
      </c>
      <c r="Y26" s="669">
        <f t="shared" si="11"/>
        <v>236784.06</v>
      </c>
      <c r="Z26" s="670">
        <f t="shared" si="2"/>
        <v>0.608230310814282</v>
      </c>
      <c r="AA26" s="874" t="s">
        <v>908</v>
      </c>
    </row>
    <row r="27" spans="1:27" ht="16.5" customHeight="1">
      <c r="A27" s="652"/>
      <c r="B27" s="683"/>
      <c r="C27" s="672" t="s">
        <v>357</v>
      </c>
      <c r="D27" s="673" t="s">
        <v>358</v>
      </c>
      <c r="E27" s="674">
        <v>2000</v>
      </c>
      <c r="F27" s="674"/>
      <c r="G27" s="674">
        <f>E27+F27</f>
        <v>2000</v>
      </c>
      <c r="H27" s="674"/>
      <c r="I27" s="674"/>
      <c r="J27" s="674"/>
      <c r="K27" s="674"/>
      <c r="L27" s="674">
        <f>SUM(G27:K27)</f>
        <v>2000</v>
      </c>
      <c r="M27" s="674">
        <v>36</v>
      </c>
      <c r="N27" s="674">
        <v>278.16</v>
      </c>
      <c r="O27" s="674">
        <v>192</v>
      </c>
      <c r="P27" s="674">
        <v>137.93</v>
      </c>
      <c r="Q27" s="674">
        <v>150.87</v>
      </c>
      <c r="R27" s="674">
        <v>116</v>
      </c>
      <c r="S27" s="674"/>
      <c r="T27" s="674"/>
      <c r="U27" s="674"/>
      <c r="V27" s="674"/>
      <c r="W27" s="674"/>
      <c r="X27" s="674"/>
      <c r="Y27" s="675">
        <f>SUM(M27:X27)</f>
        <v>910.96</v>
      </c>
      <c r="Z27" s="676">
        <f t="shared" si="2"/>
        <v>0.45548</v>
      </c>
      <c r="AA27" s="874"/>
    </row>
    <row r="28" spans="1:27" ht="16.5" customHeight="1">
      <c r="A28" s="652"/>
      <c r="B28" s="683"/>
      <c r="C28" s="672" t="s">
        <v>550</v>
      </c>
      <c r="D28" s="673" t="s">
        <v>551</v>
      </c>
      <c r="E28" s="674">
        <v>155000</v>
      </c>
      <c r="F28" s="674"/>
      <c r="G28" s="674">
        <f>E28+F28</f>
        <v>155000</v>
      </c>
      <c r="H28" s="674">
        <f>-H30</f>
        <v>-4000</v>
      </c>
      <c r="I28" s="674">
        <v>32600</v>
      </c>
      <c r="J28" s="674"/>
      <c r="K28" s="674">
        <v>15000</v>
      </c>
      <c r="L28" s="674">
        <f>SUM(G28:K28)</f>
        <v>198600</v>
      </c>
      <c r="M28" s="674">
        <f>25786.53-7897.6</f>
        <v>17888.93</v>
      </c>
      <c r="N28" s="674">
        <v>16498.27</v>
      </c>
      <c r="O28" s="674">
        <v>15362.66</v>
      </c>
      <c r="P28" s="674">
        <v>16516.33</v>
      </c>
      <c r="Q28" s="674">
        <v>24517.81</v>
      </c>
      <c r="R28" s="674">
        <v>17313.7</v>
      </c>
      <c r="S28" s="674"/>
      <c r="T28" s="674"/>
      <c r="U28" s="674"/>
      <c r="V28" s="674"/>
      <c r="W28" s="674"/>
      <c r="X28" s="674"/>
      <c r="Y28" s="675">
        <f>SUM(M28:X28)</f>
        <v>108097.7</v>
      </c>
      <c r="Z28" s="676">
        <f t="shared" si="2"/>
        <v>0.5442985901309164</v>
      </c>
      <c r="AA28" s="874"/>
    </row>
    <row r="29" spans="1:27" ht="16.5" customHeight="1">
      <c r="A29" s="652"/>
      <c r="B29" s="683"/>
      <c r="C29" s="672" t="s">
        <v>184</v>
      </c>
      <c r="D29" s="673" t="s">
        <v>185</v>
      </c>
      <c r="E29" s="674">
        <v>100</v>
      </c>
      <c r="F29" s="674"/>
      <c r="G29" s="674">
        <f>E29+F29</f>
        <v>100</v>
      </c>
      <c r="H29" s="674"/>
      <c r="I29" s="674"/>
      <c r="J29" s="674"/>
      <c r="K29" s="674"/>
      <c r="L29" s="674">
        <f>SUM(G29:K29)</f>
        <v>100</v>
      </c>
      <c r="M29" s="674"/>
      <c r="N29" s="674">
        <v>3.08</v>
      </c>
      <c r="O29" s="674">
        <v>13.97</v>
      </c>
      <c r="P29" s="674">
        <v>11.87</v>
      </c>
      <c r="Q29" s="674">
        <v>1.64</v>
      </c>
      <c r="R29" s="674">
        <v>35.07</v>
      </c>
      <c r="S29" s="674"/>
      <c r="T29" s="674"/>
      <c r="U29" s="674"/>
      <c r="V29" s="674"/>
      <c r="W29" s="674"/>
      <c r="X29" s="674"/>
      <c r="Y29" s="675">
        <f>SUM(M29:X29)</f>
        <v>65.63</v>
      </c>
      <c r="Z29" s="676">
        <f t="shared" si="2"/>
        <v>0.6563</v>
      </c>
      <c r="AA29" s="874"/>
    </row>
    <row r="30" spans="1:27" ht="16.5" customHeight="1">
      <c r="A30" s="652"/>
      <c r="B30" s="683"/>
      <c r="C30" s="672" t="s">
        <v>159</v>
      </c>
      <c r="D30" s="673" t="s">
        <v>793</v>
      </c>
      <c r="E30" s="674">
        <v>0</v>
      </c>
      <c r="F30" s="674"/>
      <c r="G30" s="674">
        <f>E30+F30</f>
        <v>0</v>
      </c>
      <c r="H30" s="674">
        <v>4000</v>
      </c>
      <c r="I30" s="674">
        <v>1600</v>
      </c>
      <c r="J30" s="674"/>
      <c r="K30" s="674"/>
      <c r="L30" s="674">
        <f>SUM(G30:K30)</f>
        <v>5600</v>
      </c>
      <c r="M30" s="674">
        <v>350.33</v>
      </c>
      <c r="N30" s="674">
        <v>398.44</v>
      </c>
      <c r="O30" s="674">
        <v>577.5</v>
      </c>
      <c r="P30" s="674">
        <v>845</v>
      </c>
      <c r="Q30" s="674">
        <v>1292</v>
      </c>
      <c r="R30" s="674">
        <v>1150.5</v>
      </c>
      <c r="S30" s="674"/>
      <c r="T30" s="674"/>
      <c r="U30" s="674"/>
      <c r="V30" s="674"/>
      <c r="W30" s="674"/>
      <c r="X30" s="674"/>
      <c r="Y30" s="675">
        <f>SUM(M30:X30)</f>
        <v>4613.77</v>
      </c>
      <c r="Z30" s="676">
        <f t="shared" si="2"/>
        <v>0.8238875000000001</v>
      </c>
      <c r="AA30" s="874"/>
    </row>
    <row r="31" spans="1:27" ht="48">
      <c r="A31" s="652"/>
      <c r="B31" s="683"/>
      <c r="C31" s="672">
        <v>6210</v>
      </c>
      <c r="D31" s="673" t="s">
        <v>572</v>
      </c>
      <c r="E31" s="674"/>
      <c r="F31" s="674"/>
      <c r="G31" s="674"/>
      <c r="H31" s="674"/>
      <c r="I31" s="674">
        <v>183000</v>
      </c>
      <c r="J31" s="674"/>
      <c r="K31" s="674"/>
      <c r="L31" s="674">
        <f>SUM(G31:K31)</f>
        <v>183000</v>
      </c>
      <c r="M31" s="674"/>
      <c r="N31" s="674"/>
      <c r="O31" s="674"/>
      <c r="P31" s="674"/>
      <c r="Q31" s="674">
        <v>183000</v>
      </c>
      <c r="R31" s="674">
        <v>-59904</v>
      </c>
      <c r="S31" s="674"/>
      <c r="T31" s="674"/>
      <c r="U31" s="674"/>
      <c r="V31" s="674"/>
      <c r="W31" s="674"/>
      <c r="X31" s="674"/>
      <c r="Y31" s="675">
        <f>SUM(M31:X31)</f>
        <v>123096</v>
      </c>
      <c r="Z31" s="676">
        <f t="shared" si="2"/>
        <v>0.672655737704918</v>
      </c>
      <c r="AA31" s="874"/>
    </row>
    <row r="32" spans="1:27" s="259" customFormat="1" ht="21" customHeight="1">
      <c r="A32" s="652"/>
      <c r="B32" s="652">
        <v>90004</v>
      </c>
      <c r="C32" s="680"/>
      <c r="D32" s="667" t="s">
        <v>441</v>
      </c>
      <c r="E32" s="668">
        <f aca="true" t="shared" si="12" ref="E32:Y32">SUM(E33)</f>
        <v>68000</v>
      </c>
      <c r="F32" s="668">
        <f t="shared" si="12"/>
        <v>0</v>
      </c>
      <c r="G32" s="668">
        <f t="shared" si="12"/>
        <v>68000</v>
      </c>
      <c r="H32" s="668">
        <f t="shared" si="12"/>
        <v>0</v>
      </c>
      <c r="I32" s="668">
        <f t="shared" si="12"/>
        <v>0</v>
      </c>
      <c r="J32" s="668">
        <f t="shared" si="12"/>
        <v>0</v>
      </c>
      <c r="K32" s="668">
        <f t="shared" si="12"/>
        <v>0</v>
      </c>
      <c r="L32" s="668">
        <f>SUM(L33)</f>
        <v>68000</v>
      </c>
      <c r="M32" s="668">
        <f>SUM(M33)</f>
        <v>0</v>
      </c>
      <c r="N32" s="668">
        <f t="shared" si="12"/>
        <v>0</v>
      </c>
      <c r="O32" s="668">
        <f t="shared" si="12"/>
        <v>10000</v>
      </c>
      <c r="P32" s="668">
        <f t="shared" si="12"/>
        <v>10000</v>
      </c>
      <c r="Q32" s="668">
        <f t="shared" si="12"/>
        <v>0</v>
      </c>
      <c r="R32" s="668">
        <f t="shared" si="12"/>
        <v>0</v>
      </c>
      <c r="S32" s="668">
        <f t="shared" si="12"/>
        <v>0</v>
      </c>
      <c r="T32" s="668">
        <f t="shared" si="12"/>
        <v>0</v>
      </c>
      <c r="U32" s="668">
        <f t="shared" si="12"/>
        <v>0</v>
      </c>
      <c r="V32" s="668">
        <f t="shared" si="12"/>
        <v>0</v>
      </c>
      <c r="W32" s="668">
        <f t="shared" si="12"/>
        <v>0</v>
      </c>
      <c r="X32" s="668">
        <f t="shared" si="12"/>
        <v>0</v>
      </c>
      <c r="Y32" s="669">
        <f t="shared" si="12"/>
        <v>20000</v>
      </c>
      <c r="Z32" s="670">
        <f t="shared" si="2"/>
        <v>0.29411764705882354</v>
      </c>
      <c r="AA32" s="880" t="s">
        <v>909</v>
      </c>
    </row>
    <row r="33" spans="1:27" ht="21" customHeight="1">
      <c r="A33" s="652"/>
      <c r="B33" s="683"/>
      <c r="C33" s="672">
        <f>C25</f>
        <v>2650</v>
      </c>
      <c r="D33" s="673" t="s">
        <v>792</v>
      </c>
      <c r="E33" s="674">
        <v>68000</v>
      </c>
      <c r="F33" s="674"/>
      <c r="G33" s="674">
        <f>E33+F33</f>
        <v>68000</v>
      </c>
      <c r="H33" s="674"/>
      <c r="I33" s="674"/>
      <c r="J33" s="674"/>
      <c r="K33" s="674"/>
      <c r="L33" s="674">
        <f>SUM(G33:K33)</f>
        <v>68000</v>
      </c>
      <c r="M33" s="674"/>
      <c r="N33" s="674"/>
      <c r="O33" s="674">
        <v>10000</v>
      </c>
      <c r="P33" s="674">
        <v>10000</v>
      </c>
      <c r="Q33" s="674"/>
      <c r="R33" s="674"/>
      <c r="S33" s="674"/>
      <c r="T33" s="674"/>
      <c r="U33" s="674"/>
      <c r="V33" s="674"/>
      <c r="W33" s="674"/>
      <c r="X33" s="674"/>
      <c r="Y33" s="675">
        <f>SUM(M33:X33)</f>
        <v>20000</v>
      </c>
      <c r="Z33" s="676">
        <f t="shared" si="2"/>
        <v>0.29411764705882354</v>
      </c>
      <c r="AA33" s="881"/>
    </row>
    <row r="34" spans="1:27" ht="16.5" customHeight="1">
      <c r="A34" s="652"/>
      <c r="B34" s="652">
        <v>90095</v>
      </c>
      <c r="C34" s="666"/>
      <c r="D34" s="667" t="s">
        <v>162</v>
      </c>
      <c r="E34" s="682">
        <f>SUM(E35:E39)</f>
        <v>637890</v>
      </c>
      <c r="F34" s="682">
        <f>SUM(F35:F39)</f>
        <v>0</v>
      </c>
      <c r="G34" s="682">
        <f>SUM(G35:G39)</f>
        <v>637890</v>
      </c>
      <c r="H34" s="682">
        <f aca="true" t="shared" si="13" ref="H34:Y34">SUM(H35:H39)</f>
        <v>0</v>
      </c>
      <c r="I34" s="682">
        <f t="shared" si="13"/>
        <v>3050</v>
      </c>
      <c r="J34" s="682">
        <f t="shared" si="13"/>
        <v>0</v>
      </c>
      <c r="K34" s="682">
        <f t="shared" si="13"/>
        <v>200000</v>
      </c>
      <c r="L34" s="682">
        <f t="shared" si="13"/>
        <v>840940</v>
      </c>
      <c r="M34" s="682">
        <f t="shared" si="13"/>
        <v>80155.21</v>
      </c>
      <c r="N34" s="682">
        <f t="shared" si="13"/>
        <v>40758.43</v>
      </c>
      <c r="O34" s="682">
        <f t="shared" si="13"/>
        <v>61871.39000000001</v>
      </c>
      <c r="P34" s="682">
        <f t="shared" si="13"/>
        <v>42008.20999999999</v>
      </c>
      <c r="Q34" s="682">
        <f t="shared" si="13"/>
        <v>89937.7</v>
      </c>
      <c r="R34" s="682">
        <f t="shared" si="13"/>
        <v>301800.25</v>
      </c>
      <c r="S34" s="682">
        <f t="shared" si="13"/>
        <v>0</v>
      </c>
      <c r="T34" s="682">
        <f t="shared" si="13"/>
        <v>0</v>
      </c>
      <c r="U34" s="682">
        <f t="shared" si="13"/>
        <v>0</v>
      </c>
      <c r="V34" s="682">
        <f t="shared" si="13"/>
        <v>0</v>
      </c>
      <c r="W34" s="682">
        <f t="shared" si="13"/>
        <v>0</v>
      </c>
      <c r="X34" s="682">
        <f t="shared" si="13"/>
        <v>0</v>
      </c>
      <c r="Y34" s="669">
        <f t="shared" si="13"/>
        <v>616531.19</v>
      </c>
      <c r="Z34" s="670">
        <f t="shared" si="2"/>
        <v>0.7331452779032986</v>
      </c>
      <c r="AA34" s="876" t="s">
        <v>910</v>
      </c>
    </row>
    <row r="35" spans="1:27" ht="16.5" customHeight="1">
      <c r="A35" s="652"/>
      <c r="B35" s="683"/>
      <c r="C35" s="672" t="s">
        <v>357</v>
      </c>
      <c r="D35" s="673" t="s">
        <v>358</v>
      </c>
      <c r="E35" s="674">
        <v>100</v>
      </c>
      <c r="F35" s="674"/>
      <c r="G35" s="674">
        <f>E35+F35</f>
        <v>100</v>
      </c>
      <c r="H35" s="674"/>
      <c r="I35" s="674"/>
      <c r="J35" s="674"/>
      <c r="K35" s="674"/>
      <c r="L35" s="674">
        <f>SUM(G35:K35)</f>
        <v>100</v>
      </c>
      <c r="M35" s="674"/>
      <c r="N35" s="674"/>
      <c r="O35" s="674">
        <v>12</v>
      </c>
      <c r="P35" s="674"/>
      <c r="Q35" s="674">
        <v>6</v>
      </c>
      <c r="R35" s="674">
        <v>6</v>
      </c>
      <c r="S35" s="674"/>
      <c r="T35" s="674"/>
      <c r="U35" s="674"/>
      <c r="V35" s="674"/>
      <c r="W35" s="674"/>
      <c r="X35" s="674"/>
      <c r="Y35" s="675">
        <f>SUM(M35:X35)</f>
        <v>24</v>
      </c>
      <c r="Z35" s="676">
        <f t="shared" si="2"/>
        <v>0.24</v>
      </c>
      <c r="AA35" s="876"/>
    </row>
    <row r="36" spans="1:27" ht="16.5" customHeight="1">
      <c r="A36" s="652"/>
      <c r="B36" s="683"/>
      <c r="C36" s="672" t="s">
        <v>550</v>
      </c>
      <c r="D36" s="673" t="s">
        <v>551</v>
      </c>
      <c r="E36" s="674">
        <v>630000</v>
      </c>
      <c r="F36" s="674"/>
      <c r="G36" s="674">
        <f>E36+F36</f>
        <v>630000</v>
      </c>
      <c r="H36" s="674"/>
      <c r="I36" s="674">
        <v>2750</v>
      </c>
      <c r="J36" s="674">
        <v>-4000</v>
      </c>
      <c r="K36" s="674">
        <v>200000</v>
      </c>
      <c r="L36" s="674">
        <f>SUM(G36:K36)</f>
        <v>828750</v>
      </c>
      <c r="M36" s="674">
        <f>70294.1+7897.6</f>
        <v>78191.70000000001</v>
      </c>
      <c r="N36" s="674">
        <v>40442.43</v>
      </c>
      <c r="O36" s="674">
        <v>61365.4</v>
      </c>
      <c r="P36" s="674">
        <v>40966.49</v>
      </c>
      <c r="Q36" s="674">
        <v>85782.55</v>
      </c>
      <c r="R36" s="674">
        <v>300563.04</v>
      </c>
      <c r="S36" s="674"/>
      <c r="T36" s="674"/>
      <c r="U36" s="674"/>
      <c r="V36" s="674"/>
      <c r="W36" s="674"/>
      <c r="X36" s="674"/>
      <c r="Y36" s="675">
        <f>SUM(M36:X36)</f>
        <v>607311.61</v>
      </c>
      <c r="Z36" s="676">
        <f t="shared" si="2"/>
        <v>0.7328043559577677</v>
      </c>
      <c r="AA36" s="876"/>
    </row>
    <row r="37" spans="1:27" ht="24">
      <c r="A37" s="652"/>
      <c r="B37" s="683"/>
      <c r="C37" s="672" t="s">
        <v>611</v>
      </c>
      <c r="D37" s="673" t="s">
        <v>612</v>
      </c>
      <c r="E37" s="674"/>
      <c r="F37" s="674"/>
      <c r="G37" s="674">
        <f>E37+F37</f>
        <v>0</v>
      </c>
      <c r="H37" s="674"/>
      <c r="I37" s="674"/>
      <c r="J37" s="674">
        <v>4000</v>
      </c>
      <c r="K37" s="674"/>
      <c r="L37" s="674">
        <f>SUM(G37:K37)</f>
        <v>4000</v>
      </c>
      <c r="M37" s="674"/>
      <c r="N37" s="674"/>
      <c r="O37" s="674"/>
      <c r="P37" s="674"/>
      <c r="Q37" s="674">
        <v>4000</v>
      </c>
      <c r="R37" s="674"/>
      <c r="S37" s="674"/>
      <c r="T37" s="674"/>
      <c r="U37" s="674"/>
      <c r="V37" s="674"/>
      <c r="W37" s="674"/>
      <c r="X37" s="674"/>
      <c r="Y37" s="675">
        <f>SUM(M37:X37)</f>
        <v>4000</v>
      </c>
      <c r="Z37" s="676">
        <f>Y37/L37</f>
        <v>1</v>
      </c>
      <c r="AA37" s="876"/>
    </row>
    <row r="38" spans="1:27" ht="16.5" customHeight="1">
      <c r="A38" s="652"/>
      <c r="B38" s="683"/>
      <c r="C38" s="672" t="s">
        <v>184</v>
      </c>
      <c r="D38" s="673" t="s">
        <v>185</v>
      </c>
      <c r="E38" s="674">
        <v>400</v>
      </c>
      <c r="F38" s="674"/>
      <c r="G38" s="674">
        <f>E38+F38</f>
        <v>400</v>
      </c>
      <c r="H38" s="674"/>
      <c r="I38" s="674">
        <v>300</v>
      </c>
      <c r="J38" s="674"/>
      <c r="K38" s="674"/>
      <c r="L38" s="674">
        <f>SUM(G38:K38)</f>
        <v>700</v>
      </c>
      <c r="M38" s="674"/>
      <c r="N38" s="674"/>
      <c r="O38" s="674">
        <v>346.44</v>
      </c>
      <c r="P38" s="674">
        <v>0.02</v>
      </c>
      <c r="Q38" s="674">
        <v>2.15</v>
      </c>
      <c r="R38" s="674">
        <v>296.71</v>
      </c>
      <c r="S38" s="674"/>
      <c r="T38" s="674"/>
      <c r="U38" s="674"/>
      <c r="V38" s="674"/>
      <c r="W38" s="674"/>
      <c r="X38" s="674"/>
      <c r="Y38" s="675">
        <f>SUM(M38:X38)</f>
        <v>645.3199999999999</v>
      </c>
      <c r="Z38" s="676">
        <f t="shared" si="2"/>
        <v>0.9218857142857142</v>
      </c>
      <c r="AA38" s="876"/>
    </row>
    <row r="39" spans="1:27" ht="16.5" customHeight="1">
      <c r="A39" s="652"/>
      <c r="B39" s="683"/>
      <c r="C39" s="672" t="s">
        <v>159</v>
      </c>
      <c r="D39" s="673" t="s">
        <v>160</v>
      </c>
      <c r="E39" s="674">
        <v>7390</v>
      </c>
      <c r="F39" s="674"/>
      <c r="G39" s="674">
        <f>E39+F39</f>
        <v>7390</v>
      </c>
      <c r="H39" s="674"/>
      <c r="I39" s="674"/>
      <c r="J39" s="674"/>
      <c r="K39" s="674"/>
      <c r="L39" s="674">
        <f>SUM(G39:K39)</f>
        <v>7390</v>
      </c>
      <c r="M39" s="674">
        <v>1963.51</v>
      </c>
      <c r="N39" s="674">
        <v>316</v>
      </c>
      <c r="O39" s="674">
        <v>147.55</v>
      </c>
      <c r="P39" s="674">
        <v>1041.7</v>
      </c>
      <c r="Q39" s="674">
        <v>147</v>
      </c>
      <c r="R39" s="674">
        <v>934.5</v>
      </c>
      <c r="S39" s="674"/>
      <c r="T39" s="674"/>
      <c r="U39" s="674"/>
      <c r="V39" s="674"/>
      <c r="W39" s="674"/>
      <c r="X39" s="674"/>
      <c r="Y39" s="675">
        <f>SUM(M39:X39)</f>
        <v>4550.26</v>
      </c>
      <c r="Z39" s="676">
        <f t="shared" si="2"/>
        <v>0.6157320703653586</v>
      </c>
      <c r="AA39" s="876"/>
    </row>
    <row r="40" spans="1:27" ht="18.75" customHeight="1">
      <c r="A40" s="882" t="s">
        <v>989</v>
      </c>
      <c r="B40" s="882"/>
      <c r="C40" s="882"/>
      <c r="D40" s="882"/>
      <c r="E40" s="685">
        <f>E21+E14+E11+E5</f>
        <v>2546776</v>
      </c>
      <c r="F40" s="685">
        <f>F21+F14+F11+F5</f>
        <v>-27150</v>
      </c>
      <c r="G40" s="685">
        <f>G21+G14+G11+G5</f>
        <v>2519626</v>
      </c>
      <c r="H40" s="685">
        <f aca="true" t="shared" si="14" ref="H40:Y40">H21+H14+H11+H5</f>
        <v>0</v>
      </c>
      <c r="I40" s="685">
        <f t="shared" si="14"/>
        <v>287104</v>
      </c>
      <c r="J40" s="685">
        <f t="shared" si="14"/>
        <v>0</v>
      </c>
      <c r="K40" s="685">
        <f t="shared" si="14"/>
        <v>317300</v>
      </c>
      <c r="L40" s="685">
        <f t="shared" si="14"/>
        <v>3124030</v>
      </c>
      <c r="M40" s="685">
        <f t="shared" si="14"/>
        <v>231151.72000000003</v>
      </c>
      <c r="N40" s="685">
        <f t="shared" si="14"/>
        <v>236069.22999999998</v>
      </c>
      <c r="O40" s="685">
        <f t="shared" si="14"/>
        <v>262854.18</v>
      </c>
      <c r="P40" s="685">
        <f t="shared" si="14"/>
        <v>232488.18</v>
      </c>
      <c r="Q40" s="685">
        <f t="shared" si="14"/>
        <v>449192.38</v>
      </c>
      <c r="R40" s="685">
        <f t="shared" si="14"/>
        <v>429783.43</v>
      </c>
      <c r="S40" s="685">
        <f t="shared" si="14"/>
        <v>0</v>
      </c>
      <c r="T40" s="685">
        <f t="shared" si="14"/>
        <v>0</v>
      </c>
      <c r="U40" s="685">
        <f t="shared" si="14"/>
        <v>0</v>
      </c>
      <c r="V40" s="685">
        <f t="shared" si="14"/>
        <v>0</v>
      </c>
      <c r="W40" s="685">
        <f t="shared" si="14"/>
        <v>0</v>
      </c>
      <c r="X40" s="685">
        <f t="shared" si="14"/>
        <v>0</v>
      </c>
      <c r="Y40" s="685">
        <f t="shared" si="14"/>
        <v>1841539.1199999996</v>
      </c>
      <c r="Z40" s="686">
        <f t="shared" si="2"/>
        <v>0.5894754915925903</v>
      </c>
      <c r="AA40" s="687"/>
    </row>
  </sheetData>
  <mergeCells count="8">
    <mergeCell ref="AA26:AA31"/>
    <mergeCell ref="AA32:AA33"/>
    <mergeCell ref="AA34:AA39"/>
    <mergeCell ref="A40:D40"/>
    <mergeCell ref="AA6:AA10"/>
    <mergeCell ref="AA12:AA13"/>
    <mergeCell ref="AA15:AA20"/>
    <mergeCell ref="AA22:AA25"/>
  </mergeCells>
  <printOptions horizontalCentered="1"/>
  <pageMargins left="0.17" right="0.15748031496062992" top="0.15748031496062992" bottom="0.15748031496062992" header="0.15748031496062992" footer="0.15748031496062992"/>
  <pageSetup fitToHeight="1" fitToWidth="1" horizontalDpi="600" verticalDpi="600" orientation="portrait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7"/>
  </sheetPr>
  <dimension ref="A1:IG120"/>
  <sheetViews>
    <sheetView zoomScale="150" zoomScaleNormal="150" workbookViewId="0" topLeftCell="C106">
      <selection activeCell="A1" sqref="A1:AB119"/>
    </sheetView>
  </sheetViews>
  <sheetFormatPr defaultColWidth="9.140625" defaultRowHeight="12.75"/>
  <cols>
    <col min="1" max="1" width="4.7109375" style="18" customWidth="1"/>
    <col min="2" max="2" width="6.8515625" style="18" customWidth="1"/>
    <col min="3" max="3" width="5.28125" style="18" customWidth="1"/>
    <col min="4" max="4" width="28.8515625" style="18" customWidth="1"/>
    <col min="5" max="5" width="13.28125" style="256" hidden="1" customWidth="1"/>
    <col min="6" max="6" width="11.8515625" style="256" hidden="1" customWidth="1"/>
    <col min="7" max="7" width="12.8515625" style="256" hidden="1" customWidth="1"/>
    <col min="8" max="8" width="10.140625" style="256" hidden="1" customWidth="1"/>
    <col min="9" max="9" width="13.421875" style="256" hidden="1" customWidth="1"/>
    <col min="10" max="10" width="12.140625" style="256" hidden="1" customWidth="1"/>
    <col min="11" max="11" width="13.57421875" style="256" hidden="1" customWidth="1"/>
    <col min="12" max="12" width="12.28125" style="256" hidden="1" customWidth="1"/>
    <col min="13" max="13" width="11.140625" style="256" customWidth="1"/>
    <col min="14" max="17" width="9.140625" style="256" hidden="1" customWidth="1"/>
    <col min="18" max="20" width="9.57421875" style="256" hidden="1" customWidth="1"/>
    <col min="21" max="21" width="9.421875" style="256" hidden="1" customWidth="1"/>
    <col min="22" max="23" width="13.421875" style="256" hidden="1" customWidth="1"/>
    <col min="24" max="24" width="12.28125" style="256" hidden="1" customWidth="1"/>
    <col min="25" max="25" width="10.421875" style="256" hidden="1" customWidth="1"/>
    <col min="26" max="26" width="10.57421875" style="256" customWidth="1"/>
    <col min="27" max="27" width="7.421875" style="258" customWidth="1"/>
    <col min="28" max="28" width="49.421875" style="734" customWidth="1"/>
    <col min="29" max="16384" width="9.140625" style="18" customWidth="1"/>
  </cols>
  <sheetData>
    <row r="1" ht="12.75">
      <c r="AB1" s="257" t="s">
        <v>415</v>
      </c>
    </row>
    <row r="2" spans="7:28" ht="84" hidden="1">
      <c r="G2" s="649"/>
      <c r="M2" s="649" t="s">
        <v>912</v>
      </c>
      <c r="AB2" s="688" t="s">
        <v>911</v>
      </c>
    </row>
    <row r="3" spans="1:28" ht="21" customHeight="1">
      <c r="A3" s="689" t="s">
        <v>236</v>
      </c>
      <c r="B3" s="689"/>
      <c r="C3" s="689"/>
      <c r="D3" s="689"/>
      <c r="E3" s="689"/>
      <c r="F3" s="689"/>
      <c r="G3" s="689"/>
      <c r="H3" s="689"/>
      <c r="I3" s="689"/>
      <c r="J3" s="689"/>
      <c r="K3" s="689"/>
      <c r="L3" s="689"/>
      <c r="M3" s="689"/>
      <c r="N3" s="689"/>
      <c r="O3" s="689"/>
      <c r="P3" s="689"/>
      <c r="Q3" s="689"/>
      <c r="R3" s="689"/>
      <c r="S3" s="689"/>
      <c r="T3" s="689"/>
      <c r="U3" s="689"/>
      <c r="V3" s="689"/>
      <c r="W3" s="689"/>
      <c r="X3" s="689"/>
      <c r="Y3" s="689"/>
      <c r="Z3" s="689"/>
      <c r="AA3" s="689"/>
      <c r="AB3" s="690"/>
    </row>
    <row r="4" spans="1:28" s="263" customFormat="1" ht="36">
      <c r="A4" s="261" t="s">
        <v>795</v>
      </c>
      <c r="B4" s="261" t="s">
        <v>993</v>
      </c>
      <c r="C4" s="261" t="s">
        <v>137</v>
      </c>
      <c r="D4" s="261" t="s">
        <v>138</v>
      </c>
      <c r="E4" s="654" t="s">
        <v>896</v>
      </c>
      <c r="F4" s="654" t="s">
        <v>913</v>
      </c>
      <c r="G4" s="654" t="s">
        <v>898</v>
      </c>
      <c r="H4" s="655" t="s">
        <v>899</v>
      </c>
      <c r="I4" s="655" t="s">
        <v>914</v>
      </c>
      <c r="J4" s="655" t="s">
        <v>901</v>
      </c>
      <c r="K4" s="655" t="str">
        <f>'[4]Przychody'!K4</f>
        <v>Zmiana nr 4 27.06.2008 r. </v>
      </c>
      <c r="L4" s="655" t="s">
        <v>915</v>
      </c>
      <c r="M4" s="654" t="s">
        <v>582</v>
      </c>
      <c r="N4" s="654" t="s">
        <v>141</v>
      </c>
      <c r="O4" s="654" t="s">
        <v>142</v>
      </c>
      <c r="P4" s="654" t="s">
        <v>143</v>
      </c>
      <c r="Q4" s="654" t="s">
        <v>144</v>
      </c>
      <c r="R4" s="654" t="s">
        <v>145</v>
      </c>
      <c r="S4" s="654" t="s">
        <v>146</v>
      </c>
      <c r="T4" s="654" t="s">
        <v>147</v>
      </c>
      <c r="U4" s="654" t="s">
        <v>148</v>
      </c>
      <c r="V4" s="654" t="s">
        <v>149</v>
      </c>
      <c r="W4" s="654" t="s">
        <v>150</v>
      </c>
      <c r="X4" s="654" t="s">
        <v>151</v>
      </c>
      <c r="Y4" s="654" t="s">
        <v>152</v>
      </c>
      <c r="Z4" s="654" t="s">
        <v>235</v>
      </c>
      <c r="AA4" s="656" t="s">
        <v>153</v>
      </c>
      <c r="AB4" s="262" t="s">
        <v>796</v>
      </c>
    </row>
    <row r="5" spans="1:28" s="697" customFormat="1" ht="24">
      <c r="A5" s="691">
        <v>400</v>
      </c>
      <c r="B5" s="692"/>
      <c r="C5" s="692"/>
      <c r="D5" s="693" t="s">
        <v>797</v>
      </c>
      <c r="E5" s="694">
        <f aca="true" t="shared" si="0" ref="E5:Z5">E6</f>
        <v>689470</v>
      </c>
      <c r="F5" s="694">
        <f t="shared" si="0"/>
        <v>0</v>
      </c>
      <c r="G5" s="694">
        <f t="shared" si="0"/>
        <v>689470</v>
      </c>
      <c r="H5" s="694">
        <f t="shared" si="0"/>
        <v>0</v>
      </c>
      <c r="I5" s="694">
        <f t="shared" si="0"/>
        <v>26100</v>
      </c>
      <c r="J5" s="694">
        <f t="shared" si="0"/>
        <v>0</v>
      </c>
      <c r="K5" s="694">
        <f t="shared" si="0"/>
        <v>5000</v>
      </c>
      <c r="L5" s="694">
        <f t="shared" si="0"/>
        <v>31100</v>
      </c>
      <c r="M5" s="694">
        <f t="shared" si="0"/>
        <v>720570</v>
      </c>
      <c r="N5" s="694">
        <f t="shared" si="0"/>
        <v>42854.31</v>
      </c>
      <c r="O5" s="694">
        <f t="shared" si="0"/>
        <v>50489.77</v>
      </c>
      <c r="P5" s="694">
        <f t="shared" si="0"/>
        <v>56934.579999999994</v>
      </c>
      <c r="Q5" s="694">
        <f t="shared" si="0"/>
        <v>57422.44</v>
      </c>
      <c r="R5" s="694">
        <f t="shared" si="0"/>
        <v>57388.99</v>
      </c>
      <c r="S5" s="694">
        <f t="shared" si="0"/>
        <v>102312.41999999998</v>
      </c>
      <c r="T5" s="694">
        <f t="shared" si="0"/>
        <v>0</v>
      </c>
      <c r="U5" s="694">
        <f t="shared" si="0"/>
        <v>0</v>
      </c>
      <c r="V5" s="694">
        <f t="shared" si="0"/>
        <v>0</v>
      </c>
      <c r="W5" s="694">
        <f t="shared" si="0"/>
        <v>0</v>
      </c>
      <c r="X5" s="694">
        <f t="shared" si="0"/>
        <v>0</v>
      </c>
      <c r="Y5" s="694">
        <f t="shared" si="0"/>
        <v>0</v>
      </c>
      <c r="Z5" s="694">
        <f t="shared" si="0"/>
        <v>367402.50999999995</v>
      </c>
      <c r="AA5" s="695">
        <f aca="true" t="shared" si="1" ref="AA5:AA33">Z5/M5</f>
        <v>0.5098776107803544</v>
      </c>
      <c r="AB5" s="696"/>
    </row>
    <row r="6" spans="1:28" s="702" customFormat="1" ht="12">
      <c r="A6" s="503"/>
      <c r="B6" s="698">
        <v>40002</v>
      </c>
      <c r="C6" s="503"/>
      <c r="D6" s="699" t="s">
        <v>791</v>
      </c>
      <c r="E6" s="668">
        <f>SUM(E7:E22)</f>
        <v>689470</v>
      </c>
      <c r="F6" s="668">
        <f>SUM(F7:F22)</f>
        <v>0</v>
      </c>
      <c r="G6" s="668">
        <f>SUM(G7:G22)</f>
        <v>689470</v>
      </c>
      <c r="H6" s="668">
        <f aca="true" t="shared" si="2" ref="H6:Z6">SUM(H7:H22)</f>
        <v>0</v>
      </c>
      <c r="I6" s="668">
        <f t="shared" si="2"/>
        <v>26100</v>
      </c>
      <c r="J6" s="668">
        <f t="shared" si="2"/>
        <v>0</v>
      </c>
      <c r="K6" s="668">
        <f t="shared" si="2"/>
        <v>5000</v>
      </c>
      <c r="L6" s="668">
        <f t="shared" si="2"/>
        <v>31100</v>
      </c>
      <c r="M6" s="668">
        <f t="shared" si="2"/>
        <v>720570</v>
      </c>
      <c r="N6" s="668">
        <f t="shared" si="2"/>
        <v>42854.31</v>
      </c>
      <c r="O6" s="668">
        <f t="shared" si="2"/>
        <v>50489.77</v>
      </c>
      <c r="P6" s="668">
        <f t="shared" si="2"/>
        <v>56934.579999999994</v>
      </c>
      <c r="Q6" s="668">
        <f t="shared" si="2"/>
        <v>57422.44</v>
      </c>
      <c r="R6" s="668">
        <f t="shared" si="2"/>
        <v>57388.99</v>
      </c>
      <c r="S6" s="668">
        <f t="shared" si="2"/>
        <v>102312.41999999998</v>
      </c>
      <c r="T6" s="668">
        <f t="shared" si="2"/>
        <v>0</v>
      </c>
      <c r="U6" s="668">
        <f t="shared" si="2"/>
        <v>0</v>
      </c>
      <c r="V6" s="668">
        <f t="shared" si="2"/>
        <v>0</v>
      </c>
      <c r="W6" s="668">
        <f t="shared" si="2"/>
        <v>0</v>
      </c>
      <c r="X6" s="668">
        <f t="shared" si="2"/>
        <v>0</v>
      </c>
      <c r="Y6" s="668">
        <f t="shared" si="2"/>
        <v>0</v>
      </c>
      <c r="Z6" s="668">
        <f t="shared" si="2"/>
        <v>367402.50999999995</v>
      </c>
      <c r="AA6" s="700">
        <f t="shared" si="1"/>
        <v>0.5098776107803544</v>
      </c>
      <c r="AB6" s="701" t="s">
        <v>798</v>
      </c>
    </row>
    <row r="7" spans="1:28" s="702" customFormat="1" ht="24">
      <c r="A7" s="261"/>
      <c r="B7" s="703"/>
      <c r="C7" s="704">
        <v>3020</v>
      </c>
      <c r="D7" s="202" t="s">
        <v>799</v>
      </c>
      <c r="E7" s="674">
        <f>7*12*4</f>
        <v>336</v>
      </c>
      <c r="F7" s="674">
        <v>84</v>
      </c>
      <c r="G7" s="674">
        <f>E7+F7</f>
        <v>420</v>
      </c>
      <c r="H7" s="674"/>
      <c r="I7" s="674"/>
      <c r="J7" s="674"/>
      <c r="K7" s="674">
        <v>500</v>
      </c>
      <c r="L7" s="674">
        <f aca="true" t="shared" si="3" ref="L7:L22">SUM(H7:K7)</f>
        <v>500</v>
      </c>
      <c r="M7" s="674">
        <f aca="true" t="shared" si="4" ref="M7:M22">G7+L7</f>
        <v>920</v>
      </c>
      <c r="N7" s="674"/>
      <c r="O7" s="674"/>
      <c r="P7" s="674">
        <v>105</v>
      </c>
      <c r="Q7" s="674">
        <v>196.26</v>
      </c>
      <c r="R7" s="674"/>
      <c r="S7" s="674">
        <v>105</v>
      </c>
      <c r="T7" s="674"/>
      <c r="U7" s="674"/>
      <c r="V7" s="674"/>
      <c r="W7" s="674"/>
      <c r="X7" s="674"/>
      <c r="Y7" s="674"/>
      <c r="Z7" s="674">
        <f aca="true" t="shared" si="5" ref="Z7:Z22">SUM(N7:Y7)</f>
        <v>406.26</v>
      </c>
      <c r="AA7" s="705">
        <f t="shared" si="1"/>
        <v>0.4415869565217391</v>
      </c>
      <c r="AB7" s="889" t="s">
        <v>1035</v>
      </c>
    </row>
    <row r="8" spans="1:28" s="702" customFormat="1" ht="14.25" customHeight="1">
      <c r="A8" s="704"/>
      <c r="B8" s="706"/>
      <c r="C8" s="704">
        <v>4010</v>
      </c>
      <c r="D8" s="202" t="s">
        <v>631</v>
      </c>
      <c r="E8" s="674">
        <v>313000</v>
      </c>
      <c r="F8" s="674">
        <v>5100</v>
      </c>
      <c r="G8" s="674">
        <f aca="true" t="shared" si="6" ref="G8:G22">E8+F8</f>
        <v>318100</v>
      </c>
      <c r="H8" s="674"/>
      <c r="I8" s="674"/>
      <c r="J8" s="674"/>
      <c r="K8" s="674">
        <v>4500</v>
      </c>
      <c r="L8" s="674">
        <f t="shared" si="3"/>
        <v>4500</v>
      </c>
      <c r="M8" s="674">
        <f t="shared" si="4"/>
        <v>322600</v>
      </c>
      <c r="N8" s="674">
        <v>24346.53</v>
      </c>
      <c r="O8" s="674">
        <v>25072.6</v>
      </c>
      <c r="P8" s="674">
        <v>27264.11</v>
      </c>
      <c r="Q8" s="674">
        <v>26168.18</v>
      </c>
      <c r="R8" s="674">
        <v>30739.11</v>
      </c>
      <c r="S8" s="674">
        <v>35683.59</v>
      </c>
      <c r="T8" s="674"/>
      <c r="U8" s="674"/>
      <c r="V8" s="674"/>
      <c r="W8" s="674"/>
      <c r="X8" s="674"/>
      <c r="Y8" s="674"/>
      <c r="Z8" s="684">
        <f t="shared" si="5"/>
        <v>169274.11999999997</v>
      </c>
      <c r="AA8" s="705">
        <f t="shared" si="1"/>
        <v>0.5247182889026657</v>
      </c>
      <c r="AB8" s="890"/>
    </row>
    <row r="9" spans="1:28" s="702" customFormat="1" ht="14.25" customHeight="1">
      <c r="A9" s="704"/>
      <c r="B9" s="706"/>
      <c r="C9" s="704">
        <v>4040</v>
      </c>
      <c r="D9" s="202" t="s">
        <v>1036</v>
      </c>
      <c r="E9" s="674">
        <v>20800</v>
      </c>
      <c r="F9" s="674"/>
      <c r="G9" s="674">
        <f t="shared" si="6"/>
        <v>20800</v>
      </c>
      <c r="H9" s="674"/>
      <c r="I9" s="674">
        <v>4000</v>
      </c>
      <c r="J9" s="674"/>
      <c r="K9" s="674"/>
      <c r="L9" s="674">
        <f t="shared" si="3"/>
        <v>4000</v>
      </c>
      <c r="M9" s="674">
        <f t="shared" si="4"/>
        <v>24800</v>
      </c>
      <c r="N9" s="674"/>
      <c r="O9" s="674"/>
      <c r="P9" s="674"/>
      <c r="Q9" s="674"/>
      <c r="R9" s="674"/>
      <c r="S9" s="674"/>
      <c r="T9" s="674"/>
      <c r="U9" s="674"/>
      <c r="V9" s="674"/>
      <c r="W9" s="674"/>
      <c r="X9" s="674"/>
      <c r="Y9" s="674"/>
      <c r="Z9" s="684">
        <f t="shared" si="5"/>
        <v>0</v>
      </c>
      <c r="AA9" s="705">
        <f t="shared" si="1"/>
        <v>0</v>
      </c>
      <c r="AB9" s="890"/>
    </row>
    <row r="10" spans="1:28" s="702" customFormat="1" ht="14.25" customHeight="1">
      <c r="A10" s="704"/>
      <c r="B10" s="706"/>
      <c r="C10" s="704">
        <v>4110</v>
      </c>
      <c r="D10" s="202" t="s">
        <v>632</v>
      </c>
      <c r="E10" s="674">
        <v>58700</v>
      </c>
      <c r="F10" s="674">
        <v>-5804</v>
      </c>
      <c r="G10" s="674">
        <f t="shared" si="6"/>
        <v>52896</v>
      </c>
      <c r="H10" s="674"/>
      <c r="I10" s="674">
        <v>540</v>
      </c>
      <c r="J10" s="674"/>
      <c r="K10" s="674"/>
      <c r="L10" s="674">
        <f t="shared" si="3"/>
        <v>540</v>
      </c>
      <c r="M10" s="674">
        <f t="shared" si="4"/>
        <v>53436</v>
      </c>
      <c r="N10" s="674">
        <v>3793.17</v>
      </c>
      <c r="O10" s="674">
        <v>3884.51</v>
      </c>
      <c r="P10" s="674">
        <v>4247.8</v>
      </c>
      <c r="Q10" s="674">
        <v>4040.16</v>
      </c>
      <c r="R10" s="674">
        <v>4789.16</v>
      </c>
      <c r="S10" s="674">
        <v>5559.5</v>
      </c>
      <c r="T10" s="674"/>
      <c r="U10" s="674"/>
      <c r="V10" s="674"/>
      <c r="W10" s="674"/>
      <c r="X10" s="674"/>
      <c r="Y10" s="674"/>
      <c r="Z10" s="684">
        <f t="shared" si="5"/>
        <v>26314.3</v>
      </c>
      <c r="AA10" s="705">
        <f t="shared" si="1"/>
        <v>0.49244516805150085</v>
      </c>
      <c r="AB10" s="890"/>
    </row>
    <row r="11" spans="1:28" s="702" customFormat="1" ht="14.25" customHeight="1">
      <c r="A11" s="704"/>
      <c r="B11" s="706"/>
      <c r="C11" s="704">
        <v>4120</v>
      </c>
      <c r="D11" s="202" t="s">
        <v>639</v>
      </c>
      <c r="E11" s="674">
        <v>7700</v>
      </c>
      <c r="F11" s="674">
        <v>620</v>
      </c>
      <c r="G11" s="674">
        <f t="shared" si="6"/>
        <v>8320</v>
      </c>
      <c r="H11" s="674"/>
      <c r="I11" s="674">
        <v>90</v>
      </c>
      <c r="J11" s="674"/>
      <c r="K11" s="674"/>
      <c r="L11" s="674">
        <f t="shared" si="3"/>
        <v>90</v>
      </c>
      <c r="M11" s="674">
        <f t="shared" si="4"/>
        <v>8410</v>
      </c>
      <c r="N11" s="674">
        <v>596.49</v>
      </c>
      <c r="O11" s="674">
        <v>610.84</v>
      </c>
      <c r="P11" s="674">
        <v>667.98</v>
      </c>
      <c r="Q11" s="674">
        <v>635.33</v>
      </c>
      <c r="R11" s="674">
        <v>753.1</v>
      </c>
      <c r="S11" s="674">
        <v>874.25</v>
      </c>
      <c r="T11" s="674"/>
      <c r="U11" s="674"/>
      <c r="V11" s="674"/>
      <c r="W11" s="674"/>
      <c r="X11" s="674"/>
      <c r="Y11" s="674"/>
      <c r="Z11" s="684">
        <f t="shared" si="5"/>
        <v>4137.99</v>
      </c>
      <c r="AA11" s="705">
        <f t="shared" si="1"/>
        <v>0.4920321046373365</v>
      </c>
      <c r="AB11" s="891"/>
    </row>
    <row r="12" spans="1:28" s="702" customFormat="1" ht="14.25" customHeight="1">
      <c r="A12" s="704"/>
      <c r="B12" s="706"/>
      <c r="C12" s="704">
        <v>4210</v>
      </c>
      <c r="D12" s="202" t="s">
        <v>998</v>
      </c>
      <c r="E12" s="674">
        <v>93084</v>
      </c>
      <c r="F12" s="674"/>
      <c r="G12" s="674">
        <f t="shared" si="6"/>
        <v>93084</v>
      </c>
      <c r="H12" s="674"/>
      <c r="I12" s="674"/>
      <c r="J12" s="674"/>
      <c r="K12" s="674"/>
      <c r="L12" s="674">
        <f t="shared" si="3"/>
        <v>0</v>
      </c>
      <c r="M12" s="674">
        <f t="shared" si="4"/>
        <v>93084</v>
      </c>
      <c r="N12" s="674">
        <v>2927.6</v>
      </c>
      <c r="O12" s="674">
        <v>5691.08</v>
      </c>
      <c r="P12" s="674">
        <v>4792.61</v>
      </c>
      <c r="Q12" s="674">
        <v>9608.59</v>
      </c>
      <c r="R12" s="674">
        <v>7327.64</v>
      </c>
      <c r="S12" s="674">
        <v>19436.58</v>
      </c>
      <c r="T12" s="674"/>
      <c r="U12" s="674"/>
      <c r="V12" s="674"/>
      <c r="W12" s="674"/>
      <c r="X12" s="674"/>
      <c r="Y12" s="674"/>
      <c r="Z12" s="674">
        <f t="shared" si="5"/>
        <v>49784.100000000006</v>
      </c>
      <c r="AA12" s="705">
        <f t="shared" si="1"/>
        <v>0.5348298311202785</v>
      </c>
      <c r="AB12" s="892" t="s">
        <v>916</v>
      </c>
    </row>
    <row r="13" spans="1:28" s="702" customFormat="1" ht="14.25" customHeight="1">
      <c r="A13" s="704"/>
      <c r="B13" s="706"/>
      <c r="C13" s="704">
        <v>4260</v>
      </c>
      <c r="D13" s="202" t="s">
        <v>634</v>
      </c>
      <c r="E13" s="674">
        <v>70000</v>
      </c>
      <c r="F13" s="674"/>
      <c r="G13" s="674">
        <f t="shared" si="6"/>
        <v>70000</v>
      </c>
      <c r="H13" s="674"/>
      <c r="I13" s="674"/>
      <c r="J13" s="674"/>
      <c r="K13" s="674"/>
      <c r="L13" s="674">
        <f t="shared" si="3"/>
        <v>0</v>
      </c>
      <c r="M13" s="674">
        <f t="shared" si="4"/>
        <v>70000</v>
      </c>
      <c r="N13" s="674">
        <v>4042.09</v>
      </c>
      <c r="O13" s="674">
        <v>8680.74</v>
      </c>
      <c r="P13" s="674">
        <v>3634.88</v>
      </c>
      <c r="Q13" s="674">
        <v>8326.59</v>
      </c>
      <c r="R13" s="674">
        <v>5465.82</v>
      </c>
      <c r="S13" s="674">
        <v>12058.94</v>
      </c>
      <c r="T13" s="674"/>
      <c r="U13" s="674"/>
      <c r="V13" s="674"/>
      <c r="W13" s="674"/>
      <c r="X13" s="674"/>
      <c r="Y13" s="674"/>
      <c r="Z13" s="674">
        <f t="shared" si="5"/>
        <v>42209.06</v>
      </c>
      <c r="AA13" s="705">
        <f t="shared" si="1"/>
        <v>0.6029865714285714</v>
      </c>
      <c r="AB13" s="895"/>
    </row>
    <row r="14" spans="1:241" s="697" customFormat="1" ht="14.25" customHeight="1">
      <c r="A14" s="707"/>
      <c r="B14" s="707"/>
      <c r="C14" s="707">
        <v>4270</v>
      </c>
      <c r="D14" s="708" t="s">
        <v>618</v>
      </c>
      <c r="E14" s="709">
        <v>9000</v>
      </c>
      <c r="F14" s="709"/>
      <c r="G14" s="674">
        <f t="shared" si="6"/>
        <v>9000</v>
      </c>
      <c r="H14" s="709"/>
      <c r="I14" s="709"/>
      <c r="J14" s="709"/>
      <c r="K14" s="709"/>
      <c r="L14" s="674">
        <f t="shared" si="3"/>
        <v>0</v>
      </c>
      <c r="M14" s="674">
        <f t="shared" si="4"/>
        <v>9000</v>
      </c>
      <c r="N14" s="674"/>
      <c r="O14" s="674">
        <v>742</v>
      </c>
      <c r="P14" s="674">
        <v>425</v>
      </c>
      <c r="Q14" s="674">
        <v>330</v>
      </c>
      <c r="R14" s="674"/>
      <c r="S14" s="674">
        <v>2362.2</v>
      </c>
      <c r="T14" s="674"/>
      <c r="U14" s="674"/>
      <c r="V14" s="674"/>
      <c r="W14" s="674"/>
      <c r="X14" s="674"/>
      <c r="Y14" s="674"/>
      <c r="Z14" s="674">
        <f t="shared" si="5"/>
        <v>3859.2</v>
      </c>
      <c r="AA14" s="705">
        <f t="shared" si="1"/>
        <v>0.42879999999999996</v>
      </c>
      <c r="AB14" s="895"/>
      <c r="AC14" s="702"/>
      <c r="AD14" s="702"/>
      <c r="AE14" s="702"/>
      <c r="AF14" s="702"/>
      <c r="AG14" s="702"/>
      <c r="AH14" s="702"/>
      <c r="AI14" s="702"/>
      <c r="AJ14" s="702"/>
      <c r="AK14" s="702"/>
      <c r="AL14" s="702"/>
      <c r="AM14" s="702"/>
      <c r="AN14" s="702"/>
      <c r="AO14" s="702"/>
      <c r="AP14" s="702"/>
      <c r="AQ14" s="702"/>
      <c r="AR14" s="702"/>
      <c r="AS14" s="702"/>
      <c r="AT14" s="702"/>
      <c r="AU14" s="702"/>
      <c r="AV14" s="702"/>
      <c r="AW14" s="702"/>
      <c r="AX14" s="702"/>
      <c r="AY14" s="702"/>
      <c r="AZ14" s="702"/>
      <c r="BA14" s="702"/>
      <c r="BB14" s="702"/>
      <c r="BC14" s="702"/>
      <c r="BD14" s="702"/>
      <c r="BE14" s="702"/>
      <c r="BF14" s="702"/>
      <c r="BG14" s="702"/>
      <c r="BH14" s="702"/>
      <c r="BI14" s="702"/>
      <c r="BJ14" s="702"/>
      <c r="BK14" s="702"/>
      <c r="BL14" s="702"/>
      <c r="BM14" s="702"/>
      <c r="BN14" s="702"/>
      <c r="BO14" s="702"/>
      <c r="BP14" s="702"/>
      <c r="BQ14" s="702"/>
      <c r="BR14" s="702"/>
      <c r="BS14" s="702"/>
      <c r="BT14" s="702"/>
      <c r="BU14" s="702"/>
      <c r="BV14" s="702"/>
      <c r="BW14" s="702"/>
      <c r="BX14" s="702"/>
      <c r="BY14" s="702"/>
      <c r="BZ14" s="702"/>
      <c r="CA14" s="702"/>
      <c r="CB14" s="702"/>
      <c r="CC14" s="702"/>
      <c r="CD14" s="702"/>
      <c r="CE14" s="702"/>
      <c r="CF14" s="702"/>
      <c r="CG14" s="702"/>
      <c r="CH14" s="702"/>
      <c r="CI14" s="702"/>
      <c r="CJ14" s="702"/>
      <c r="CK14" s="702"/>
      <c r="CL14" s="702"/>
      <c r="CM14" s="702"/>
      <c r="CN14" s="702"/>
      <c r="CO14" s="702"/>
      <c r="CP14" s="702"/>
      <c r="CQ14" s="702"/>
      <c r="CR14" s="702"/>
      <c r="CS14" s="702"/>
      <c r="CT14" s="702"/>
      <c r="CU14" s="702"/>
      <c r="CV14" s="702"/>
      <c r="CW14" s="702"/>
      <c r="CX14" s="702"/>
      <c r="CY14" s="702"/>
      <c r="CZ14" s="702"/>
      <c r="DA14" s="702"/>
      <c r="DB14" s="702"/>
      <c r="DC14" s="702"/>
      <c r="DD14" s="702"/>
      <c r="DE14" s="702"/>
      <c r="DF14" s="702"/>
      <c r="DG14" s="702"/>
      <c r="DH14" s="702"/>
      <c r="DI14" s="702"/>
      <c r="DJ14" s="702"/>
      <c r="DK14" s="702"/>
      <c r="DL14" s="702"/>
      <c r="DM14" s="702"/>
      <c r="DN14" s="702"/>
      <c r="DO14" s="702"/>
      <c r="DP14" s="702"/>
      <c r="DQ14" s="702"/>
      <c r="DR14" s="702"/>
      <c r="DS14" s="702"/>
      <c r="DT14" s="702"/>
      <c r="DU14" s="702"/>
      <c r="DV14" s="702"/>
      <c r="DW14" s="702"/>
      <c r="DX14" s="702"/>
      <c r="DY14" s="702"/>
      <c r="DZ14" s="702"/>
      <c r="EA14" s="702"/>
      <c r="EB14" s="702"/>
      <c r="EC14" s="702"/>
      <c r="ED14" s="702"/>
      <c r="EE14" s="702"/>
      <c r="EF14" s="702"/>
      <c r="EG14" s="702"/>
      <c r="EH14" s="702"/>
      <c r="EI14" s="702"/>
      <c r="EJ14" s="702"/>
      <c r="EK14" s="702"/>
      <c r="EL14" s="702"/>
      <c r="EM14" s="702"/>
      <c r="EN14" s="702"/>
      <c r="EO14" s="702"/>
      <c r="EP14" s="702"/>
      <c r="EQ14" s="702"/>
      <c r="ER14" s="702"/>
      <c r="ES14" s="702"/>
      <c r="ET14" s="702"/>
      <c r="EU14" s="702"/>
      <c r="EV14" s="702"/>
      <c r="EW14" s="702"/>
      <c r="EX14" s="702"/>
      <c r="EY14" s="702"/>
      <c r="EZ14" s="702"/>
      <c r="FA14" s="702"/>
      <c r="FB14" s="702"/>
      <c r="FC14" s="702"/>
      <c r="FD14" s="702"/>
      <c r="FE14" s="702"/>
      <c r="FF14" s="702"/>
      <c r="FG14" s="702"/>
      <c r="FH14" s="702"/>
      <c r="FI14" s="702"/>
      <c r="FJ14" s="702"/>
      <c r="FK14" s="702"/>
      <c r="FL14" s="702"/>
      <c r="FM14" s="702"/>
      <c r="FN14" s="702"/>
      <c r="FO14" s="702"/>
      <c r="FP14" s="702"/>
      <c r="FQ14" s="702"/>
      <c r="FR14" s="702"/>
      <c r="FS14" s="702"/>
      <c r="FT14" s="702"/>
      <c r="FU14" s="702"/>
      <c r="FV14" s="702"/>
      <c r="FW14" s="702"/>
      <c r="FX14" s="702"/>
      <c r="FY14" s="702"/>
      <c r="FZ14" s="702"/>
      <c r="GA14" s="702"/>
      <c r="GB14" s="702"/>
      <c r="GC14" s="702"/>
      <c r="GD14" s="702"/>
      <c r="GE14" s="702"/>
      <c r="GF14" s="702"/>
      <c r="GG14" s="702"/>
      <c r="GH14" s="702"/>
      <c r="GI14" s="702"/>
      <c r="GJ14" s="702"/>
      <c r="GK14" s="702"/>
      <c r="GL14" s="702"/>
      <c r="GM14" s="702"/>
      <c r="GN14" s="702"/>
      <c r="GO14" s="702"/>
      <c r="GP14" s="702"/>
      <c r="GQ14" s="702"/>
      <c r="GR14" s="702"/>
      <c r="GS14" s="702"/>
      <c r="GT14" s="702"/>
      <c r="GU14" s="702"/>
      <c r="GV14" s="702"/>
      <c r="GW14" s="702"/>
      <c r="GX14" s="702"/>
      <c r="GY14" s="702"/>
      <c r="GZ14" s="702"/>
      <c r="HA14" s="702"/>
      <c r="HB14" s="702"/>
      <c r="HC14" s="702"/>
      <c r="HD14" s="702"/>
      <c r="HE14" s="702"/>
      <c r="HF14" s="702"/>
      <c r="HG14" s="702"/>
      <c r="HH14" s="702"/>
      <c r="HI14" s="702"/>
      <c r="HJ14" s="702"/>
      <c r="HK14" s="702"/>
      <c r="HL14" s="702"/>
      <c r="HM14" s="702"/>
      <c r="HN14" s="702"/>
      <c r="HO14" s="702"/>
      <c r="HP14" s="702"/>
      <c r="HQ14" s="702"/>
      <c r="HR14" s="702"/>
      <c r="HS14" s="702"/>
      <c r="HT14" s="702"/>
      <c r="HU14" s="702"/>
      <c r="HV14" s="702"/>
      <c r="HW14" s="702"/>
      <c r="HX14" s="702"/>
      <c r="HY14" s="702"/>
      <c r="HZ14" s="702"/>
      <c r="IA14" s="702"/>
      <c r="IB14" s="702"/>
      <c r="IC14" s="702"/>
      <c r="ID14" s="702"/>
      <c r="IE14" s="702"/>
      <c r="IF14" s="702"/>
      <c r="IG14" s="702"/>
    </row>
    <row r="15" spans="1:241" s="697" customFormat="1" ht="14.25" customHeight="1">
      <c r="A15" s="707"/>
      <c r="B15" s="707"/>
      <c r="C15" s="707">
        <v>4280</v>
      </c>
      <c r="D15" s="708" t="s">
        <v>641</v>
      </c>
      <c r="E15" s="709">
        <v>100</v>
      </c>
      <c r="F15" s="709"/>
      <c r="G15" s="674">
        <f t="shared" si="6"/>
        <v>100</v>
      </c>
      <c r="H15" s="709"/>
      <c r="I15" s="709">
        <v>500</v>
      </c>
      <c r="J15" s="709"/>
      <c r="K15" s="709"/>
      <c r="L15" s="674">
        <f t="shared" si="3"/>
        <v>500</v>
      </c>
      <c r="M15" s="674">
        <f t="shared" si="4"/>
        <v>600</v>
      </c>
      <c r="N15" s="674"/>
      <c r="O15" s="674">
        <v>17</v>
      </c>
      <c r="P15" s="674">
        <v>190</v>
      </c>
      <c r="Q15" s="674">
        <v>100</v>
      </c>
      <c r="R15" s="674"/>
      <c r="S15" s="674"/>
      <c r="T15" s="674"/>
      <c r="U15" s="674"/>
      <c r="V15" s="674"/>
      <c r="W15" s="674"/>
      <c r="X15" s="674"/>
      <c r="Y15" s="674"/>
      <c r="Z15" s="674">
        <f t="shared" si="5"/>
        <v>307</v>
      </c>
      <c r="AA15" s="705">
        <f t="shared" si="1"/>
        <v>0.5116666666666667</v>
      </c>
      <c r="AB15" s="895"/>
      <c r="AC15" s="702"/>
      <c r="AD15" s="702"/>
      <c r="AE15" s="702"/>
      <c r="AF15" s="702"/>
      <c r="AG15" s="702"/>
      <c r="AH15" s="702"/>
      <c r="AI15" s="702"/>
      <c r="AJ15" s="702"/>
      <c r="AK15" s="702"/>
      <c r="AL15" s="702"/>
      <c r="AM15" s="702"/>
      <c r="AN15" s="702"/>
      <c r="AO15" s="702"/>
      <c r="AP15" s="702"/>
      <c r="AQ15" s="702"/>
      <c r="AR15" s="702"/>
      <c r="AS15" s="702"/>
      <c r="AT15" s="702"/>
      <c r="AU15" s="702"/>
      <c r="AV15" s="702"/>
      <c r="AW15" s="702"/>
      <c r="AX15" s="702"/>
      <c r="AY15" s="702"/>
      <c r="AZ15" s="702"/>
      <c r="BA15" s="702"/>
      <c r="BB15" s="702"/>
      <c r="BC15" s="702"/>
      <c r="BD15" s="702"/>
      <c r="BE15" s="702"/>
      <c r="BF15" s="702"/>
      <c r="BG15" s="702"/>
      <c r="BH15" s="702"/>
      <c r="BI15" s="702"/>
      <c r="BJ15" s="702"/>
      <c r="BK15" s="702"/>
      <c r="BL15" s="702"/>
      <c r="BM15" s="702"/>
      <c r="BN15" s="702"/>
      <c r="BO15" s="702"/>
      <c r="BP15" s="702"/>
      <c r="BQ15" s="702"/>
      <c r="BR15" s="702"/>
      <c r="BS15" s="702"/>
      <c r="BT15" s="702"/>
      <c r="BU15" s="702"/>
      <c r="BV15" s="702"/>
      <c r="BW15" s="702"/>
      <c r="BX15" s="702"/>
      <c r="BY15" s="702"/>
      <c r="BZ15" s="702"/>
      <c r="CA15" s="702"/>
      <c r="CB15" s="702"/>
      <c r="CC15" s="702"/>
      <c r="CD15" s="702"/>
      <c r="CE15" s="702"/>
      <c r="CF15" s="702"/>
      <c r="CG15" s="702"/>
      <c r="CH15" s="702"/>
      <c r="CI15" s="702"/>
      <c r="CJ15" s="702"/>
      <c r="CK15" s="702"/>
      <c r="CL15" s="702"/>
      <c r="CM15" s="702"/>
      <c r="CN15" s="702"/>
      <c r="CO15" s="702"/>
      <c r="CP15" s="702"/>
      <c r="CQ15" s="702"/>
      <c r="CR15" s="702"/>
      <c r="CS15" s="702"/>
      <c r="CT15" s="702"/>
      <c r="CU15" s="702"/>
      <c r="CV15" s="702"/>
      <c r="CW15" s="702"/>
      <c r="CX15" s="702"/>
      <c r="CY15" s="702"/>
      <c r="CZ15" s="702"/>
      <c r="DA15" s="702"/>
      <c r="DB15" s="702"/>
      <c r="DC15" s="702"/>
      <c r="DD15" s="702"/>
      <c r="DE15" s="702"/>
      <c r="DF15" s="702"/>
      <c r="DG15" s="702"/>
      <c r="DH15" s="702"/>
      <c r="DI15" s="702"/>
      <c r="DJ15" s="702"/>
      <c r="DK15" s="702"/>
      <c r="DL15" s="702"/>
      <c r="DM15" s="702"/>
      <c r="DN15" s="702"/>
      <c r="DO15" s="702"/>
      <c r="DP15" s="702"/>
      <c r="DQ15" s="702"/>
      <c r="DR15" s="702"/>
      <c r="DS15" s="702"/>
      <c r="DT15" s="702"/>
      <c r="DU15" s="702"/>
      <c r="DV15" s="702"/>
      <c r="DW15" s="702"/>
      <c r="DX15" s="702"/>
      <c r="DY15" s="702"/>
      <c r="DZ15" s="702"/>
      <c r="EA15" s="702"/>
      <c r="EB15" s="702"/>
      <c r="EC15" s="702"/>
      <c r="ED15" s="702"/>
      <c r="EE15" s="702"/>
      <c r="EF15" s="702"/>
      <c r="EG15" s="702"/>
      <c r="EH15" s="702"/>
      <c r="EI15" s="702"/>
      <c r="EJ15" s="702"/>
      <c r="EK15" s="702"/>
      <c r="EL15" s="702"/>
      <c r="EM15" s="702"/>
      <c r="EN15" s="702"/>
      <c r="EO15" s="702"/>
      <c r="EP15" s="702"/>
      <c r="EQ15" s="702"/>
      <c r="ER15" s="702"/>
      <c r="ES15" s="702"/>
      <c r="ET15" s="702"/>
      <c r="EU15" s="702"/>
      <c r="EV15" s="702"/>
      <c r="EW15" s="702"/>
      <c r="EX15" s="702"/>
      <c r="EY15" s="702"/>
      <c r="EZ15" s="702"/>
      <c r="FA15" s="702"/>
      <c r="FB15" s="702"/>
      <c r="FC15" s="702"/>
      <c r="FD15" s="702"/>
      <c r="FE15" s="702"/>
      <c r="FF15" s="702"/>
      <c r="FG15" s="702"/>
      <c r="FH15" s="702"/>
      <c r="FI15" s="702"/>
      <c r="FJ15" s="702"/>
      <c r="FK15" s="702"/>
      <c r="FL15" s="702"/>
      <c r="FM15" s="702"/>
      <c r="FN15" s="702"/>
      <c r="FO15" s="702"/>
      <c r="FP15" s="702"/>
      <c r="FQ15" s="702"/>
      <c r="FR15" s="702"/>
      <c r="FS15" s="702"/>
      <c r="FT15" s="702"/>
      <c r="FU15" s="702"/>
      <c r="FV15" s="702"/>
      <c r="FW15" s="702"/>
      <c r="FX15" s="702"/>
      <c r="FY15" s="702"/>
      <c r="FZ15" s="702"/>
      <c r="GA15" s="702"/>
      <c r="GB15" s="702"/>
      <c r="GC15" s="702"/>
      <c r="GD15" s="702"/>
      <c r="GE15" s="702"/>
      <c r="GF15" s="702"/>
      <c r="GG15" s="702"/>
      <c r="GH15" s="702"/>
      <c r="GI15" s="702"/>
      <c r="GJ15" s="702"/>
      <c r="GK15" s="702"/>
      <c r="GL15" s="702"/>
      <c r="GM15" s="702"/>
      <c r="GN15" s="702"/>
      <c r="GO15" s="702"/>
      <c r="GP15" s="702"/>
      <c r="GQ15" s="702"/>
      <c r="GR15" s="702"/>
      <c r="GS15" s="702"/>
      <c r="GT15" s="702"/>
      <c r="GU15" s="702"/>
      <c r="GV15" s="702"/>
      <c r="GW15" s="702"/>
      <c r="GX15" s="702"/>
      <c r="GY15" s="702"/>
      <c r="GZ15" s="702"/>
      <c r="HA15" s="702"/>
      <c r="HB15" s="702"/>
      <c r="HC15" s="702"/>
      <c r="HD15" s="702"/>
      <c r="HE15" s="702"/>
      <c r="HF15" s="702"/>
      <c r="HG15" s="702"/>
      <c r="HH15" s="702"/>
      <c r="HI15" s="702"/>
      <c r="HJ15" s="702"/>
      <c r="HK15" s="702"/>
      <c r="HL15" s="702"/>
      <c r="HM15" s="702"/>
      <c r="HN15" s="702"/>
      <c r="HO15" s="702"/>
      <c r="HP15" s="702"/>
      <c r="HQ15" s="702"/>
      <c r="HR15" s="702"/>
      <c r="HS15" s="702"/>
      <c r="HT15" s="702"/>
      <c r="HU15" s="702"/>
      <c r="HV15" s="702"/>
      <c r="HW15" s="702"/>
      <c r="HX15" s="702"/>
      <c r="HY15" s="702"/>
      <c r="HZ15" s="702"/>
      <c r="IA15" s="702"/>
      <c r="IB15" s="702"/>
      <c r="IC15" s="702"/>
      <c r="ID15" s="702"/>
      <c r="IE15" s="702"/>
      <c r="IF15" s="702"/>
      <c r="IG15" s="702"/>
    </row>
    <row r="16" spans="1:28" s="702" customFormat="1" ht="14.25" customHeight="1">
      <c r="A16" s="704"/>
      <c r="B16" s="704"/>
      <c r="C16" s="704">
        <v>4300</v>
      </c>
      <c r="D16" s="202" t="s">
        <v>1000</v>
      </c>
      <c r="E16" s="674">
        <v>45000</v>
      </c>
      <c r="F16" s="674"/>
      <c r="G16" s="674">
        <f t="shared" si="6"/>
        <v>45000</v>
      </c>
      <c r="H16" s="674"/>
      <c r="I16" s="674"/>
      <c r="J16" s="674"/>
      <c r="K16" s="674"/>
      <c r="L16" s="674">
        <f t="shared" si="3"/>
        <v>0</v>
      </c>
      <c r="M16" s="674">
        <f t="shared" si="4"/>
        <v>45000</v>
      </c>
      <c r="N16" s="674">
        <v>2702</v>
      </c>
      <c r="O16" s="674">
        <v>2940</v>
      </c>
      <c r="P16" s="674">
        <f>6102.32</f>
        <v>6102.32</v>
      </c>
      <c r="Q16" s="674">
        <v>2508.64</v>
      </c>
      <c r="R16" s="674">
        <v>2901.53</v>
      </c>
      <c r="S16" s="674">
        <v>5544.55</v>
      </c>
      <c r="T16" s="674"/>
      <c r="U16" s="674"/>
      <c r="V16" s="674"/>
      <c r="W16" s="674"/>
      <c r="X16" s="674"/>
      <c r="Y16" s="674"/>
      <c r="Z16" s="684">
        <f t="shared" si="5"/>
        <v>22699.039999999997</v>
      </c>
      <c r="AA16" s="705">
        <f t="shared" si="1"/>
        <v>0.504423111111111</v>
      </c>
      <c r="AB16" s="896"/>
    </row>
    <row r="17" spans="1:28" s="702" customFormat="1" ht="14.25" customHeight="1">
      <c r="A17" s="704"/>
      <c r="B17" s="704"/>
      <c r="C17" s="704">
        <v>4410</v>
      </c>
      <c r="D17" s="202" t="s">
        <v>635</v>
      </c>
      <c r="E17" s="674">
        <v>11000</v>
      </c>
      <c r="F17" s="674"/>
      <c r="G17" s="674">
        <f t="shared" si="6"/>
        <v>11000</v>
      </c>
      <c r="H17" s="674"/>
      <c r="I17" s="674"/>
      <c r="J17" s="674"/>
      <c r="K17" s="674"/>
      <c r="L17" s="674">
        <f t="shared" si="3"/>
        <v>0</v>
      </c>
      <c r="M17" s="674">
        <f t="shared" si="4"/>
        <v>11000</v>
      </c>
      <c r="N17" s="674">
        <v>748.67</v>
      </c>
      <c r="O17" s="674">
        <v>366.23</v>
      </c>
      <c r="P17" s="674">
        <v>703.01</v>
      </c>
      <c r="Q17" s="674">
        <v>799.57</v>
      </c>
      <c r="R17" s="674">
        <v>967.78</v>
      </c>
      <c r="S17" s="674">
        <v>620.78</v>
      </c>
      <c r="T17" s="674"/>
      <c r="U17" s="674"/>
      <c r="V17" s="674"/>
      <c r="W17" s="674"/>
      <c r="X17" s="674"/>
      <c r="Y17" s="674"/>
      <c r="Z17" s="674">
        <f t="shared" si="5"/>
        <v>4206.04</v>
      </c>
      <c r="AA17" s="705">
        <f t="shared" si="1"/>
        <v>0.3823672727272727</v>
      </c>
      <c r="AB17" s="889" t="s">
        <v>614</v>
      </c>
    </row>
    <row r="18" spans="1:28" s="702" customFormat="1" ht="14.25" customHeight="1">
      <c r="A18" s="704"/>
      <c r="B18" s="704"/>
      <c r="C18" s="704">
        <v>4420</v>
      </c>
      <c r="D18" s="202" t="s">
        <v>615</v>
      </c>
      <c r="E18" s="674">
        <v>1200</v>
      </c>
      <c r="F18" s="674"/>
      <c r="G18" s="674">
        <f t="shared" si="6"/>
        <v>1200</v>
      </c>
      <c r="H18" s="674"/>
      <c r="I18" s="674"/>
      <c r="J18" s="674"/>
      <c r="K18" s="674"/>
      <c r="L18" s="674">
        <f t="shared" si="3"/>
        <v>0</v>
      </c>
      <c r="M18" s="674">
        <f t="shared" si="4"/>
        <v>1200</v>
      </c>
      <c r="N18" s="674"/>
      <c r="O18" s="674"/>
      <c r="P18" s="674">
        <v>111.34</v>
      </c>
      <c r="Q18" s="674"/>
      <c r="R18" s="674">
        <v>89.5</v>
      </c>
      <c r="S18" s="674"/>
      <c r="T18" s="674"/>
      <c r="U18" s="674"/>
      <c r="V18" s="674"/>
      <c r="W18" s="674"/>
      <c r="X18" s="674"/>
      <c r="Y18" s="674"/>
      <c r="Z18" s="674">
        <f t="shared" si="5"/>
        <v>200.84</v>
      </c>
      <c r="AA18" s="705">
        <f t="shared" si="1"/>
        <v>0.16736666666666666</v>
      </c>
      <c r="AB18" s="891"/>
    </row>
    <row r="19" spans="1:28" s="702" customFormat="1" ht="60">
      <c r="A19" s="704"/>
      <c r="B19" s="704"/>
      <c r="C19" s="704">
        <v>4430</v>
      </c>
      <c r="D19" s="202" t="s">
        <v>1007</v>
      </c>
      <c r="E19" s="674">
        <v>37500</v>
      </c>
      <c r="F19" s="674"/>
      <c r="G19" s="674">
        <f t="shared" si="6"/>
        <v>37500</v>
      </c>
      <c r="H19" s="674"/>
      <c r="I19" s="674"/>
      <c r="J19" s="674"/>
      <c r="K19" s="674"/>
      <c r="L19" s="674">
        <f t="shared" si="3"/>
        <v>0</v>
      </c>
      <c r="M19" s="674">
        <f t="shared" si="4"/>
        <v>37500</v>
      </c>
      <c r="N19" s="674">
        <v>1089.79</v>
      </c>
      <c r="O19" s="674">
        <v>1044.2</v>
      </c>
      <c r="P19" s="674">
        <v>1926.1</v>
      </c>
      <c r="Q19" s="674">
        <v>1105.32</v>
      </c>
      <c r="R19" s="674">
        <v>1382.95</v>
      </c>
      <c r="S19" s="674">
        <v>15971.84</v>
      </c>
      <c r="T19" s="674"/>
      <c r="U19" s="674"/>
      <c r="V19" s="674"/>
      <c r="W19" s="674"/>
      <c r="X19" s="674"/>
      <c r="Y19" s="674"/>
      <c r="Z19" s="674">
        <f t="shared" si="5"/>
        <v>22520.2</v>
      </c>
      <c r="AA19" s="705">
        <f t="shared" si="1"/>
        <v>0.6005386666666667</v>
      </c>
      <c r="AB19" s="710" t="s">
        <v>917</v>
      </c>
    </row>
    <row r="20" spans="1:28" s="702" customFormat="1" ht="24">
      <c r="A20" s="704"/>
      <c r="B20" s="704"/>
      <c r="C20" s="704">
        <v>4440</v>
      </c>
      <c r="D20" s="202" t="s">
        <v>428</v>
      </c>
      <c r="E20" s="674">
        <v>7650</v>
      </c>
      <c r="F20" s="674"/>
      <c r="G20" s="674">
        <f t="shared" si="6"/>
        <v>7650</v>
      </c>
      <c r="H20" s="674"/>
      <c r="I20" s="674">
        <v>510</v>
      </c>
      <c r="J20" s="674"/>
      <c r="K20" s="674"/>
      <c r="L20" s="674">
        <f t="shared" si="3"/>
        <v>510</v>
      </c>
      <c r="M20" s="674">
        <f t="shared" si="4"/>
        <v>8160</v>
      </c>
      <c r="N20" s="674">
        <v>637.44</v>
      </c>
      <c r="O20" s="674">
        <v>722.5</v>
      </c>
      <c r="P20" s="674">
        <v>679.97</v>
      </c>
      <c r="Q20" s="674">
        <v>679.97</v>
      </c>
      <c r="R20" s="674">
        <v>679.97</v>
      </c>
      <c r="S20" s="674">
        <f>R20</f>
        <v>679.97</v>
      </c>
      <c r="T20" s="674"/>
      <c r="U20" s="674"/>
      <c r="V20" s="674"/>
      <c r="W20" s="674"/>
      <c r="X20" s="674"/>
      <c r="Y20" s="674"/>
      <c r="Z20" s="674">
        <f t="shared" si="5"/>
        <v>4079.8200000000006</v>
      </c>
      <c r="AA20" s="705">
        <f t="shared" si="1"/>
        <v>0.49997794117647065</v>
      </c>
      <c r="AB20" s="711" t="s">
        <v>429</v>
      </c>
    </row>
    <row r="21" spans="1:28" s="702" customFormat="1" ht="14.25" customHeight="1">
      <c r="A21" s="704"/>
      <c r="B21" s="704"/>
      <c r="C21" s="704">
        <v>4480</v>
      </c>
      <c r="D21" s="202" t="s">
        <v>498</v>
      </c>
      <c r="E21" s="674"/>
      <c r="F21" s="674"/>
      <c r="G21" s="674"/>
      <c r="H21" s="674"/>
      <c r="I21" s="674">
        <v>20460</v>
      </c>
      <c r="J21" s="674"/>
      <c r="K21" s="674"/>
      <c r="L21" s="674">
        <f t="shared" si="3"/>
        <v>20460</v>
      </c>
      <c r="M21" s="674">
        <f t="shared" si="4"/>
        <v>20460</v>
      </c>
      <c r="N21" s="674"/>
      <c r="O21" s="674"/>
      <c r="P21" s="674">
        <v>5118.98</v>
      </c>
      <c r="Q21" s="674">
        <v>1704.54</v>
      </c>
      <c r="R21" s="674">
        <v>1704.54</v>
      </c>
      <c r="S21" s="674">
        <f>R21</f>
        <v>1704.54</v>
      </c>
      <c r="T21" s="674"/>
      <c r="U21" s="674"/>
      <c r="V21" s="674"/>
      <c r="W21" s="674"/>
      <c r="X21" s="674"/>
      <c r="Y21" s="674"/>
      <c r="Z21" s="674">
        <f t="shared" si="5"/>
        <v>10232.599999999999</v>
      </c>
      <c r="AA21" s="712">
        <f t="shared" si="1"/>
        <v>0.5001270772238513</v>
      </c>
      <c r="AB21" s="711" t="s">
        <v>918</v>
      </c>
    </row>
    <row r="22" spans="1:28" s="702" customFormat="1" ht="14.25" customHeight="1">
      <c r="A22" s="704"/>
      <c r="B22" s="704"/>
      <c r="C22" s="704">
        <v>4530</v>
      </c>
      <c r="D22" s="202" t="s">
        <v>430</v>
      </c>
      <c r="E22" s="674">
        <v>14400</v>
      </c>
      <c r="F22" s="674"/>
      <c r="G22" s="674">
        <f t="shared" si="6"/>
        <v>14400</v>
      </c>
      <c r="H22" s="674"/>
      <c r="I22" s="674"/>
      <c r="J22" s="674"/>
      <c r="K22" s="674"/>
      <c r="L22" s="674">
        <f t="shared" si="3"/>
        <v>0</v>
      </c>
      <c r="M22" s="674">
        <f t="shared" si="4"/>
        <v>14400</v>
      </c>
      <c r="N22" s="674">
        <v>1970.53</v>
      </c>
      <c r="O22" s="674">
        <v>718.07</v>
      </c>
      <c r="P22" s="674">
        <v>965.48</v>
      </c>
      <c r="Q22" s="674">
        <v>1219.29</v>
      </c>
      <c r="R22" s="674">
        <v>587.89</v>
      </c>
      <c r="S22" s="674">
        <v>1710.68</v>
      </c>
      <c r="T22" s="674"/>
      <c r="U22" s="674"/>
      <c r="V22" s="674"/>
      <c r="W22" s="674"/>
      <c r="X22" s="674"/>
      <c r="Y22" s="674"/>
      <c r="Z22" s="674">
        <f t="shared" si="5"/>
        <v>7171.9400000000005</v>
      </c>
      <c r="AA22" s="712">
        <f t="shared" si="1"/>
        <v>0.49805138888888895</v>
      </c>
      <c r="AB22" s="711" t="s">
        <v>431</v>
      </c>
    </row>
    <row r="23" spans="1:28" s="717" customFormat="1" ht="14.25" customHeight="1">
      <c r="A23" s="713">
        <v>600</v>
      </c>
      <c r="B23" s="713"/>
      <c r="C23" s="713"/>
      <c r="D23" s="714" t="s">
        <v>169</v>
      </c>
      <c r="E23" s="715">
        <f aca="true" t="shared" si="7" ref="E23:Z23">E24</f>
        <v>209000</v>
      </c>
      <c r="F23" s="715">
        <f t="shared" si="7"/>
        <v>-60000</v>
      </c>
      <c r="G23" s="715">
        <f t="shared" si="7"/>
        <v>149000</v>
      </c>
      <c r="H23" s="715">
        <f t="shared" si="7"/>
        <v>0</v>
      </c>
      <c r="I23" s="715">
        <f t="shared" si="7"/>
        <v>0</v>
      </c>
      <c r="J23" s="715">
        <f t="shared" si="7"/>
        <v>0</v>
      </c>
      <c r="K23" s="715">
        <f t="shared" si="7"/>
        <v>77300</v>
      </c>
      <c r="L23" s="715">
        <f t="shared" si="7"/>
        <v>77300</v>
      </c>
      <c r="M23" s="715">
        <f t="shared" si="7"/>
        <v>226300</v>
      </c>
      <c r="N23" s="715">
        <f t="shared" si="7"/>
        <v>7275.89</v>
      </c>
      <c r="O23" s="715">
        <f t="shared" si="7"/>
        <v>11975.169999999998</v>
      </c>
      <c r="P23" s="715">
        <f t="shared" si="7"/>
        <v>8003.959999999999</v>
      </c>
      <c r="Q23" s="715">
        <f t="shared" si="7"/>
        <v>8524.87</v>
      </c>
      <c r="R23" s="715">
        <f t="shared" si="7"/>
        <v>30124.12</v>
      </c>
      <c r="S23" s="715">
        <f t="shared" si="7"/>
        <v>72480.31</v>
      </c>
      <c r="T23" s="715">
        <f t="shared" si="7"/>
        <v>0</v>
      </c>
      <c r="U23" s="715">
        <f t="shared" si="7"/>
        <v>0</v>
      </c>
      <c r="V23" s="715">
        <f t="shared" si="7"/>
        <v>0</v>
      </c>
      <c r="W23" s="715">
        <f t="shared" si="7"/>
        <v>0</v>
      </c>
      <c r="X23" s="715">
        <f t="shared" si="7"/>
        <v>0</v>
      </c>
      <c r="Y23" s="715">
        <f t="shared" si="7"/>
        <v>0</v>
      </c>
      <c r="Z23" s="715">
        <f t="shared" si="7"/>
        <v>138384.32</v>
      </c>
      <c r="AA23" s="695">
        <f t="shared" si="1"/>
        <v>0.6115082633672116</v>
      </c>
      <c r="AB23" s="716"/>
    </row>
    <row r="24" spans="1:28" s="718" customFormat="1" ht="14.25" customHeight="1">
      <c r="A24" s="503"/>
      <c r="B24" s="503">
        <v>60016</v>
      </c>
      <c r="C24" s="503"/>
      <c r="D24" s="699" t="s">
        <v>172</v>
      </c>
      <c r="E24" s="668">
        <f>SUM(E25:E37)</f>
        <v>209000</v>
      </c>
      <c r="F24" s="668">
        <f>SUM(F25:F37)</f>
        <v>-60000</v>
      </c>
      <c r="G24" s="668">
        <f>SUM(G25:G37)</f>
        <v>149000</v>
      </c>
      <c r="H24" s="668">
        <f aca="true" t="shared" si="8" ref="H24:Z24">SUM(H25:H37)</f>
        <v>0</v>
      </c>
      <c r="I24" s="668">
        <f t="shared" si="8"/>
        <v>0</v>
      </c>
      <c r="J24" s="668">
        <f>SUM(J25:J37)</f>
        <v>0</v>
      </c>
      <c r="K24" s="668">
        <f>SUM(K25:K37)</f>
        <v>77300</v>
      </c>
      <c r="L24" s="668">
        <f t="shared" si="8"/>
        <v>77300</v>
      </c>
      <c r="M24" s="668">
        <f t="shared" si="8"/>
        <v>226300</v>
      </c>
      <c r="N24" s="668">
        <f t="shared" si="8"/>
        <v>7275.89</v>
      </c>
      <c r="O24" s="668">
        <f t="shared" si="8"/>
        <v>11975.169999999998</v>
      </c>
      <c r="P24" s="668">
        <f t="shared" si="8"/>
        <v>8003.959999999999</v>
      </c>
      <c r="Q24" s="668">
        <f t="shared" si="8"/>
        <v>8524.87</v>
      </c>
      <c r="R24" s="668">
        <f t="shared" si="8"/>
        <v>30124.12</v>
      </c>
      <c r="S24" s="668">
        <f t="shared" si="8"/>
        <v>72480.31</v>
      </c>
      <c r="T24" s="668">
        <f t="shared" si="8"/>
        <v>0</v>
      </c>
      <c r="U24" s="668">
        <f t="shared" si="8"/>
        <v>0</v>
      </c>
      <c r="V24" s="668">
        <f t="shared" si="8"/>
        <v>0</v>
      </c>
      <c r="W24" s="668">
        <f t="shared" si="8"/>
        <v>0</v>
      </c>
      <c r="X24" s="668">
        <f t="shared" si="8"/>
        <v>0</v>
      </c>
      <c r="Y24" s="668">
        <f t="shared" si="8"/>
        <v>0</v>
      </c>
      <c r="Z24" s="668">
        <f t="shared" si="8"/>
        <v>138384.32</v>
      </c>
      <c r="AA24" s="700">
        <f t="shared" si="1"/>
        <v>0.6115082633672116</v>
      </c>
      <c r="AB24" s="701" t="s">
        <v>798</v>
      </c>
    </row>
    <row r="25" spans="1:28" s="702" customFormat="1" ht="24">
      <c r="A25" s="704"/>
      <c r="B25" s="704"/>
      <c r="C25" s="704">
        <v>3020</v>
      </c>
      <c r="D25" s="202" t="s">
        <v>799</v>
      </c>
      <c r="E25" s="674">
        <v>84</v>
      </c>
      <c r="F25" s="674">
        <v>-44</v>
      </c>
      <c r="G25" s="674">
        <f aca="true" t="shared" si="9" ref="G25:G37">E25+F25</f>
        <v>40</v>
      </c>
      <c r="H25" s="674"/>
      <c r="I25" s="674"/>
      <c r="J25" s="674">
        <v>400</v>
      </c>
      <c r="K25" s="674"/>
      <c r="L25" s="674">
        <f aca="true" t="shared" si="10" ref="L25:L37">SUM(H25:K25)</f>
        <v>400</v>
      </c>
      <c r="M25" s="674">
        <f aca="true" t="shared" si="11" ref="M25:M37">G25+L25</f>
        <v>440</v>
      </c>
      <c r="N25" s="674"/>
      <c r="O25" s="674"/>
      <c r="P25" s="674"/>
      <c r="Q25" s="674">
        <v>300</v>
      </c>
      <c r="R25" s="674"/>
      <c r="S25" s="674"/>
      <c r="T25" s="674"/>
      <c r="U25" s="674"/>
      <c r="V25" s="674"/>
      <c r="W25" s="674"/>
      <c r="X25" s="674"/>
      <c r="Y25" s="674"/>
      <c r="Z25" s="674">
        <f aca="true" t="shared" si="12" ref="Z25:Z37">SUM(N25:Y25)</f>
        <v>300</v>
      </c>
      <c r="AA25" s="705">
        <f t="shared" si="1"/>
        <v>0.6818181818181818</v>
      </c>
      <c r="AB25" s="886" t="s">
        <v>433</v>
      </c>
    </row>
    <row r="26" spans="1:28" s="702" customFormat="1" ht="14.25" customHeight="1">
      <c r="A26" s="704"/>
      <c r="B26" s="704"/>
      <c r="C26" s="704">
        <v>4010</v>
      </c>
      <c r="D26" s="202" t="s">
        <v>631</v>
      </c>
      <c r="E26" s="674">
        <v>62000</v>
      </c>
      <c r="F26" s="674">
        <v>-25000</v>
      </c>
      <c r="G26" s="674">
        <f t="shared" si="9"/>
        <v>37000</v>
      </c>
      <c r="H26" s="674"/>
      <c r="I26" s="674"/>
      <c r="J26" s="674"/>
      <c r="K26" s="674"/>
      <c r="L26" s="674">
        <f t="shared" si="10"/>
        <v>0</v>
      </c>
      <c r="M26" s="674">
        <f t="shared" si="11"/>
        <v>37000</v>
      </c>
      <c r="N26" s="674">
        <v>2845.76</v>
      </c>
      <c r="O26" s="674">
        <v>2928.8</v>
      </c>
      <c r="P26" s="674">
        <v>3034.88</v>
      </c>
      <c r="Q26" s="674">
        <v>2828.95</v>
      </c>
      <c r="R26" s="674">
        <v>3322.72</v>
      </c>
      <c r="S26" s="674">
        <v>2847.47</v>
      </c>
      <c r="T26" s="674"/>
      <c r="U26" s="674"/>
      <c r="V26" s="674"/>
      <c r="W26" s="674"/>
      <c r="X26" s="674"/>
      <c r="Y26" s="674"/>
      <c r="Z26" s="684">
        <f t="shared" si="12"/>
        <v>17808.579999999998</v>
      </c>
      <c r="AA26" s="705">
        <f t="shared" si="1"/>
        <v>0.48131297297297293</v>
      </c>
      <c r="AB26" s="887"/>
    </row>
    <row r="27" spans="1:28" s="702" customFormat="1" ht="14.25" customHeight="1">
      <c r="A27" s="704"/>
      <c r="B27" s="704"/>
      <c r="C27" s="704">
        <v>4040</v>
      </c>
      <c r="D27" s="202" t="s">
        <v>1036</v>
      </c>
      <c r="E27" s="674">
        <v>4000</v>
      </c>
      <c r="F27" s="674">
        <v>-1844</v>
      </c>
      <c r="G27" s="674">
        <f t="shared" si="9"/>
        <v>2156</v>
      </c>
      <c r="H27" s="674"/>
      <c r="I27" s="674">
        <v>844</v>
      </c>
      <c r="J27" s="674"/>
      <c r="K27" s="674"/>
      <c r="L27" s="674">
        <f t="shared" si="10"/>
        <v>844</v>
      </c>
      <c r="M27" s="674">
        <f t="shared" si="11"/>
        <v>3000</v>
      </c>
      <c r="N27" s="674"/>
      <c r="O27" s="674"/>
      <c r="P27" s="674"/>
      <c r="Q27" s="674"/>
      <c r="R27" s="674"/>
      <c r="S27" s="674"/>
      <c r="T27" s="674"/>
      <c r="U27" s="674"/>
      <c r="V27" s="674"/>
      <c r="W27" s="674"/>
      <c r="X27" s="674"/>
      <c r="Y27" s="674"/>
      <c r="Z27" s="684">
        <f t="shared" si="12"/>
        <v>0</v>
      </c>
      <c r="AA27" s="705">
        <f t="shared" si="1"/>
        <v>0</v>
      </c>
      <c r="AB27" s="887"/>
    </row>
    <row r="28" spans="1:28" s="702" customFormat="1" ht="14.25" customHeight="1">
      <c r="A28" s="704"/>
      <c r="B28" s="704"/>
      <c r="C28" s="704">
        <v>4110</v>
      </c>
      <c r="D28" s="202" t="s">
        <v>632</v>
      </c>
      <c r="E28" s="674">
        <v>11650</v>
      </c>
      <c r="F28" s="674">
        <v>-5500</v>
      </c>
      <c r="G28" s="674">
        <f t="shared" si="9"/>
        <v>6150</v>
      </c>
      <c r="H28" s="674"/>
      <c r="I28" s="674">
        <v>100</v>
      </c>
      <c r="J28" s="674"/>
      <c r="K28" s="674"/>
      <c r="L28" s="674">
        <f t="shared" si="10"/>
        <v>100</v>
      </c>
      <c r="M28" s="674">
        <f t="shared" si="11"/>
        <v>6250</v>
      </c>
      <c r="N28" s="674">
        <v>443.37</v>
      </c>
      <c r="O28" s="674">
        <v>456.31</v>
      </c>
      <c r="P28" s="674">
        <v>472.83</v>
      </c>
      <c r="Q28" s="674">
        <v>366.14</v>
      </c>
      <c r="R28" s="674">
        <v>517.68</v>
      </c>
      <c r="S28" s="674">
        <v>443.64</v>
      </c>
      <c r="T28" s="674"/>
      <c r="U28" s="674"/>
      <c r="V28" s="674"/>
      <c r="W28" s="674"/>
      <c r="X28" s="674"/>
      <c r="Y28" s="674"/>
      <c r="Z28" s="684">
        <f t="shared" si="12"/>
        <v>2699.97</v>
      </c>
      <c r="AA28" s="705">
        <f t="shared" si="1"/>
        <v>0.43199519999999997</v>
      </c>
      <c r="AB28" s="887"/>
    </row>
    <row r="29" spans="1:28" s="702" customFormat="1" ht="14.25" customHeight="1">
      <c r="A29" s="704"/>
      <c r="B29" s="704"/>
      <c r="C29" s="704">
        <v>4120</v>
      </c>
      <c r="D29" s="202" t="s">
        <v>639</v>
      </c>
      <c r="E29" s="674">
        <v>1650</v>
      </c>
      <c r="F29" s="674">
        <v>-650</v>
      </c>
      <c r="G29" s="674">
        <f t="shared" si="9"/>
        <v>1000</v>
      </c>
      <c r="H29" s="674"/>
      <c r="I29" s="674"/>
      <c r="J29" s="674"/>
      <c r="K29" s="674"/>
      <c r="L29" s="674">
        <f t="shared" si="10"/>
        <v>0</v>
      </c>
      <c r="M29" s="674">
        <f t="shared" si="11"/>
        <v>1000</v>
      </c>
      <c r="N29" s="674">
        <v>69.72</v>
      </c>
      <c r="O29" s="674">
        <v>71.76</v>
      </c>
      <c r="P29" s="674">
        <v>74.35</v>
      </c>
      <c r="Q29" s="674">
        <v>57.58</v>
      </c>
      <c r="R29" s="674">
        <v>81.41</v>
      </c>
      <c r="S29" s="674">
        <v>69.76</v>
      </c>
      <c r="T29" s="674"/>
      <c r="U29" s="674"/>
      <c r="V29" s="674"/>
      <c r="W29" s="674"/>
      <c r="X29" s="674"/>
      <c r="Y29" s="674"/>
      <c r="Z29" s="684">
        <f t="shared" si="12"/>
        <v>424.58000000000004</v>
      </c>
      <c r="AA29" s="705">
        <f t="shared" si="1"/>
        <v>0.42458000000000007</v>
      </c>
      <c r="AB29" s="888"/>
    </row>
    <row r="30" spans="1:28" s="702" customFormat="1" ht="14.25" customHeight="1">
      <c r="A30" s="704"/>
      <c r="B30" s="704"/>
      <c r="C30" s="704">
        <v>4210</v>
      </c>
      <c r="D30" s="202" t="s">
        <v>998</v>
      </c>
      <c r="E30" s="674">
        <v>45000</v>
      </c>
      <c r="F30" s="674">
        <f>-8404+44</f>
        <v>-8360</v>
      </c>
      <c r="G30" s="674">
        <f t="shared" si="9"/>
        <v>36640</v>
      </c>
      <c r="H30" s="674"/>
      <c r="I30" s="674">
        <v>-1013</v>
      </c>
      <c r="J30" s="674"/>
      <c r="K30" s="674">
        <v>38000</v>
      </c>
      <c r="L30" s="674">
        <f t="shared" si="10"/>
        <v>36987</v>
      </c>
      <c r="M30" s="674">
        <f t="shared" si="11"/>
        <v>73627</v>
      </c>
      <c r="N30" s="674">
        <v>1763.6</v>
      </c>
      <c r="O30" s="674">
        <v>7055.74</v>
      </c>
      <c r="P30" s="674">
        <v>2911.4</v>
      </c>
      <c r="Q30" s="674">
        <v>4067.01</v>
      </c>
      <c r="R30" s="674">
        <v>8147.07</v>
      </c>
      <c r="S30" s="674">
        <v>9281.79</v>
      </c>
      <c r="T30" s="674"/>
      <c r="U30" s="674"/>
      <c r="V30" s="674"/>
      <c r="W30" s="674"/>
      <c r="X30" s="674"/>
      <c r="Y30" s="674"/>
      <c r="Z30" s="684">
        <f t="shared" si="12"/>
        <v>33226.61</v>
      </c>
      <c r="AA30" s="705">
        <f t="shared" si="1"/>
        <v>0.45128295326442747</v>
      </c>
      <c r="AB30" s="892" t="s">
        <v>919</v>
      </c>
    </row>
    <row r="31" spans="1:28" s="702" customFormat="1" ht="14.25" customHeight="1">
      <c r="A31" s="704"/>
      <c r="B31" s="704"/>
      <c r="C31" s="704">
        <v>4270</v>
      </c>
      <c r="D31" s="202" t="s">
        <v>618</v>
      </c>
      <c r="E31" s="674">
        <v>2000</v>
      </c>
      <c r="F31" s="674"/>
      <c r="G31" s="674">
        <f t="shared" si="9"/>
        <v>2000</v>
      </c>
      <c r="H31" s="674"/>
      <c r="I31" s="674"/>
      <c r="J31" s="674"/>
      <c r="K31" s="674"/>
      <c r="L31" s="674">
        <f t="shared" si="10"/>
        <v>0</v>
      </c>
      <c r="M31" s="674">
        <f t="shared" si="11"/>
        <v>2000</v>
      </c>
      <c r="N31" s="674"/>
      <c r="O31" s="674">
        <v>250</v>
      </c>
      <c r="P31" s="674"/>
      <c r="Q31" s="674">
        <v>216</v>
      </c>
      <c r="R31" s="674">
        <v>250</v>
      </c>
      <c r="S31" s="674"/>
      <c r="T31" s="674"/>
      <c r="U31" s="674"/>
      <c r="V31" s="674"/>
      <c r="W31" s="674"/>
      <c r="X31" s="674"/>
      <c r="Y31" s="674"/>
      <c r="Z31" s="674">
        <f t="shared" si="12"/>
        <v>716</v>
      </c>
      <c r="AA31" s="705">
        <f t="shared" si="1"/>
        <v>0.358</v>
      </c>
      <c r="AB31" s="893"/>
    </row>
    <row r="32" spans="1:28" s="697" customFormat="1" ht="14.25" customHeight="1">
      <c r="A32" s="707"/>
      <c r="B32" s="707"/>
      <c r="C32" s="707">
        <v>4280</v>
      </c>
      <c r="D32" s="708" t="s">
        <v>641</v>
      </c>
      <c r="E32" s="709">
        <v>100</v>
      </c>
      <c r="F32" s="709"/>
      <c r="G32" s="674">
        <f t="shared" si="9"/>
        <v>100</v>
      </c>
      <c r="H32" s="709"/>
      <c r="I32" s="709"/>
      <c r="J32" s="709"/>
      <c r="K32" s="709"/>
      <c r="L32" s="674">
        <f t="shared" si="10"/>
        <v>0</v>
      </c>
      <c r="M32" s="674">
        <f t="shared" si="11"/>
        <v>100</v>
      </c>
      <c r="N32" s="674"/>
      <c r="O32" s="674"/>
      <c r="P32" s="674"/>
      <c r="Q32" s="674">
        <v>50</v>
      </c>
      <c r="R32" s="674"/>
      <c r="S32" s="674"/>
      <c r="T32" s="674"/>
      <c r="U32" s="674"/>
      <c r="V32" s="674"/>
      <c r="W32" s="674"/>
      <c r="X32" s="674"/>
      <c r="Y32" s="674"/>
      <c r="Z32" s="674">
        <f t="shared" si="12"/>
        <v>50</v>
      </c>
      <c r="AA32" s="705">
        <f t="shared" si="1"/>
        <v>0.5</v>
      </c>
      <c r="AB32" s="893"/>
    </row>
    <row r="33" spans="1:28" s="702" customFormat="1" ht="14.25" customHeight="1">
      <c r="A33" s="704"/>
      <c r="B33" s="704"/>
      <c r="C33" s="704">
        <v>4300</v>
      </c>
      <c r="D33" s="202" t="s">
        <v>1000</v>
      </c>
      <c r="E33" s="674">
        <v>69500</v>
      </c>
      <c r="F33" s="674">
        <f>-17900+150-2</f>
        <v>-17752</v>
      </c>
      <c r="G33" s="674">
        <f t="shared" si="9"/>
        <v>51748</v>
      </c>
      <c r="H33" s="674"/>
      <c r="I33" s="674"/>
      <c r="J33" s="674">
        <v>-400</v>
      </c>
      <c r="K33" s="674">
        <v>35000</v>
      </c>
      <c r="L33" s="674">
        <f t="shared" si="10"/>
        <v>34600</v>
      </c>
      <c r="M33" s="674">
        <f t="shared" si="11"/>
        <v>86348</v>
      </c>
      <c r="N33" s="674">
        <v>275.4</v>
      </c>
      <c r="O33" s="674">
        <v>484</v>
      </c>
      <c r="P33" s="674">
        <v>1009.02</v>
      </c>
      <c r="Q33" s="674">
        <v>55.73</v>
      </c>
      <c r="R33" s="674">
        <v>15950</v>
      </c>
      <c r="S33" s="674">
        <v>55078</v>
      </c>
      <c r="T33" s="674"/>
      <c r="U33" s="674"/>
      <c r="V33" s="674"/>
      <c r="W33" s="674"/>
      <c r="X33" s="674"/>
      <c r="Y33" s="674"/>
      <c r="Z33" s="674">
        <f t="shared" si="12"/>
        <v>72852.15</v>
      </c>
      <c r="AA33" s="705">
        <f t="shared" si="1"/>
        <v>0.8437039653495159</v>
      </c>
      <c r="AB33" s="894"/>
    </row>
    <row r="34" spans="1:28" s="702" customFormat="1" ht="14.25" customHeight="1">
      <c r="A34" s="704"/>
      <c r="B34" s="704"/>
      <c r="C34" s="704">
        <v>4410</v>
      </c>
      <c r="D34" s="202" t="s">
        <v>635</v>
      </c>
      <c r="E34" s="674">
        <v>1400</v>
      </c>
      <c r="F34" s="674"/>
      <c r="G34" s="674">
        <f t="shared" si="9"/>
        <v>1400</v>
      </c>
      <c r="H34" s="674"/>
      <c r="I34" s="674"/>
      <c r="J34" s="674"/>
      <c r="K34" s="674"/>
      <c r="L34" s="674">
        <f t="shared" si="10"/>
        <v>0</v>
      </c>
      <c r="M34" s="674">
        <f t="shared" si="11"/>
        <v>1400</v>
      </c>
      <c r="N34" s="674">
        <v>113.97</v>
      </c>
      <c r="O34" s="674">
        <v>113.97</v>
      </c>
      <c r="P34" s="674">
        <v>119.67</v>
      </c>
      <c r="Q34" s="674">
        <v>96.88</v>
      </c>
      <c r="R34" s="674">
        <v>123.48</v>
      </c>
      <c r="S34" s="674">
        <v>123.31</v>
      </c>
      <c r="T34" s="674"/>
      <c r="U34" s="674"/>
      <c r="V34" s="674"/>
      <c r="W34" s="674"/>
      <c r="X34" s="674"/>
      <c r="Y34" s="674"/>
      <c r="Z34" s="674">
        <f t="shared" si="12"/>
        <v>691.28</v>
      </c>
      <c r="AA34" s="705">
        <f>Z34/M34</f>
        <v>0.49377142857142853</v>
      </c>
      <c r="AB34" s="711" t="s">
        <v>614</v>
      </c>
    </row>
    <row r="35" spans="1:28" s="702" customFormat="1" ht="36">
      <c r="A35" s="704"/>
      <c r="B35" s="704"/>
      <c r="C35" s="704">
        <v>4430</v>
      </c>
      <c r="D35" s="202" t="s">
        <v>1007</v>
      </c>
      <c r="E35" s="674">
        <v>2000</v>
      </c>
      <c r="F35" s="674"/>
      <c r="G35" s="674">
        <f t="shared" si="9"/>
        <v>2000</v>
      </c>
      <c r="H35" s="674"/>
      <c r="I35" s="674"/>
      <c r="J35" s="674"/>
      <c r="K35" s="674">
        <v>500</v>
      </c>
      <c r="L35" s="674">
        <f t="shared" si="10"/>
        <v>500</v>
      </c>
      <c r="M35" s="674">
        <f t="shared" si="11"/>
        <v>2500</v>
      </c>
      <c r="N35" s="674">
        <v>1059.88</v>
      </c>
      <c r="O35" s="674">
        <v>50.33</v>
      </c>
      <c r="P35" s="674">
        <v>50.33</v>
      </c>
      <c r="Q35" s="674">
        <v>273.83</v>
      </c>
      <c r="R35" s="674">
        <v>50.33</v>
      </c>
      <c r="S35" s="674">
        <v>92.12</v>
      </c>
      <c r="T35" s="674"/>
      <c r="U35" s="674"/>
      <c r="V35" s="674"/>
      <c r="W35" s="674"/>
      <c r="X35" s="674"/>
      <c r="Y35" s="674"/>
      <c r="Z35" s="674">
        <f t="shared" si="12"/>
        <v>1576.8199999999997</v>
      </c>
      <c r="AA35" s="705">
        <f>Z35/M35</f>
        <v>0.6307279999999998</v>
      </c>
      <c r="AB35" s="711" t="s">
        <v>920</v>
      </c>
    </row>
    <row r="36" spans="1:28" s="702" customFormat="1" ht="24">
      <c r="A36" s="704"/>
      <c r="B36" s="704"/>
      <c r="C36" s="704">
        <v>4440</v>
      </c>
      <c r="D36" s="202" t="s">
        <v>428</v>
      </c>
      <c r="E36" s="674">
        <v>1990</v>
      </c>
      <c r="F36" s="674">
        <v>-850</v>
      </c>
      <c r="G36" s="674">
        <f t="shared" si="9"/>
        <v>1140</v>
      </c>
      <c r="H36" s="674"/>
      <c r="I36" s="674">
        <v>69</v>
      </c>
      <c r="J36" s="674"/>
      <c r="K36" s="674"/>
      <c r="L36" s="674">
        <f t="shared" si="10"/>
        <v>69</v>
      </c>
      <c r="M36" s="674">
        <f t="shared" si="11"/>
        <v>1209</v>
      </c>
      <c r="N36" s="674">
        <v>94.43</v>
      </c>
      <c r="O36" s="674">
        <v>107.05</v>
      </c>
      <c r="P36" s="674">
        <v>100.74</v>
      </c>
      <c r="Q36" s="674">
        <v>100.74</v>
      </c>
      <c r="R36" s="674">
        <v>100.74</v>
      </c>
      <c r="S36" s="674">
        <f>R36</f>
        <v>100.74</v>
      </c>
      <c r="T36" s="674"/>
      <c r="U36" s="674"/>
      <c r="V36" s="674"/>
      <c r="W36" s="674"/>
      <c r="X36" s="674"/>
      <c r="Y36" s="674"/>
      <c r="Z36" s="674">
        <f t="shared" si="12"/>
        <v>604.44</v>
      </c>
      <c r="AA36" s="705">
        <f>Z36/M36</f>
        <v>0.49995037220843674</v>
      </c>
      <c r="AB36" s="711" t="s">
        <v>429</v>
      </c>
    </row>
    <row r="37" spans="1:28" s="702" customFormat="1" ht="14.25" customHeight="1">
      <c r="A37" s="704"/>
      <c r="B37" s="704"/>
      <c r="C37" s="704">
        <v>4530</v>
      </c>
      <c r="D37" s="202" t="s">
        <v>430</v>
      </c>
      <c r="E37" s="674">
        <v>7626</v>
      </c>
      <c r="F37" s="674"/>
      <c r="G37" s="674">
        <f t="shared" si="9"/>
        <v>7626</v>
      </c>
      <c r="H37" s="674"/>
      <c r="I37" s="674"/>
      <c r="J37" s="674"/>
      <c r="K37" s="674">
        <v>3800</v>
      </c>
      <c r="L37" s="674">
        <f t="shared" si="10"/>
        <v>3800</v>
      </c>
      <c r="M37" s="674">
        <f t="shared" si="11"/>
        <v>11426</v>
      </c>
      <c r="N37" s="674">
        <v>609.76</v>
      </c>
      <c r="O37" s="674">
        <v>457.21</v>
      </c>
      <c r="P37" s="674">
        <v>230.74</v>
      </c>
      <c r="Q37" s="674">
        <v>112.01</v>
      </c>
      <c r="R37" s="674">
        <v>1580.69</v>
      </c>
      <c r="S37" s="674">
        <v>4443.48</v>
      </c>
      <c r="T37" s="674"/>
      <c r="U37" s="674"/>
      <c r="V37" s="674"/>
      <c r="W37" s="674"/>
      <c r="X37" s="674"/>
      <c r="Y37" s="674"/>
      <c r="Z37" s="674">
        <f t="shared" si="12"/>
        <v>7433.889999999999</v>
      </c>
      <c r="AA37" s="712">
        <f>Z37/M37</f>
        <v>0.6506117626465955</v>
      </c>
      <c r="AB37" s="711" t="s">
        <v>431</v>
      </c>
    </row>
    <row r="38" spans="1:28" s="697" customFormat="1" ht="14.25" customHeight="1">
      <c r="A38" s="713">
        <v>700</v>
      </c>
      <c r="B38" s="713"/>
      <c r="C38" s="713"/>
      <c r="D38" s="714" t="s">
        <v>175</v>
      </c>
      <c r="E38" s="719">
        <f aca="true" t="shared" si="13" ref="E38:Z38">E39</f>
        <v>329900</v>
      </c>
      <c r="F38" s="719">
        <f t="shared" si="13"/>
        <v>0</v>
      </c>
      <c r="G38" s="719">
        <f t="shared" si="13"/>
        <v>329900</v>
      </c>
      <c r="H38" s="719">
        <f t="shared" si="13"/>
        <v>0</v>
      </c>
      <c r="I38" s="719">
        <f t="shared" si="13"/>
        <v>25750</v>
      </c>
      <c r="J38" s="719">
        <f t="shared" si="13"/>
        <v>0</v>
      </c>
      <c r="K38" s="719">
        <f t="shared" si="13"/>
        <v>0</v>
      </c>
      <c r="L38" s="719">
        <f t="shared" si="13"/>
        <v>25750</v>
      </c>
      <c r="M38" s="719">
        <f t="shared" si="13"/>
        <v>355650</v>
      </c>
      <c r="N38" s="719">
        <f t="shared" si="13"/>
        <v>38220.3</v>
      </c>
      <c r="O38" s="719">
        <f t="shared" si="13"/>
        <v>29951.23</v>
      </c>
      <c r="P38" s="719">
        <f t="shared" si="13"/>
        <v>35194.54</v>
      </c>
      <c r="Q38" s="719">
        <f t="shared" si="13"/>
        <v>25988.640000000003</v>
      </c>
      <c r="R38" s="719">
        <f t="shared" si="13"/>
        <v>14760.01</v>
      </c>
      <c r="S38" s="719">
        <f t="shared" si="13"/>
        <v>32550.630000000005</v>
      </c>
      <c r="T38" s="719">
        <f t="shared" si="13"/>
        <v>0</v>
      </c>
      <c r="U38" s="719">
        <f t="shared" si="13"/>
        <v>0</v>
      </c>
      <c r="V38" s="719">
        <f t="shared" si="13"/>
        <v>0</v>
      </c>
      <c r="W38" s="719">
        <f t="shared" si="13"/>
        <v>0</v>
      </c>
      <c r="X38" s="719">
        <f t="shared" si="13"/>
        <v>0</v>
      </c>
      <c r="Y38" s="719">
        <f t="shared" si="13"/>
        <v>0</v>
      </c>
      <c r="Z38" s="719">
        <f t="shared" si="13"/>
        <v>176665.35000000003</v>
      </c>
      <c r="AA38" s="720">
        <f aca="true" t="shared" si="14" ref="AA38:AA101">Z38/M38</f>
        <v>0.4967393504850275</v>
      </c>
      <c r="AB38" s="721"/>
    </row>
    <row r="39" spans="1:28" s="702" customFormat="1" ht="24">
      <c r="A39" s="722"/>
      <c r="B39" s="503">
        <v>70005</v>
      </c>
      <c r="C39" s="503"/>
      <c r="D39" s="699" t="s">
        <v>176</v>
      </c>
      <c r="E39" s="668">
        <f>SUM(E40:E54)</f>
        <v>329900</v>
      </c>
      <c r="F39" s="668">
        <f aca="true" t="shared" si="15" ref="F39:Z39">SUM(F40:F54)</f>
        <v>0</v>
      </c>
      <c r="G39" s="668">
        <f t="shared" si="15"/>
        <v>329900</v>
      </c>
      <c r="H39" s="668">
        <f t="shared" si="15"/>
        <v>0</v>
      </c>
      <c r="I39" s="668">
        <f t="shared" si="15"/>
        <v>25750</v>
      </c>
      <c r="J39" s="668">
        <f t="shared" si="15"/>
        <v>0</v>
      </c>
      <c r="K39" s="668">
        <f t="shared" si="15"/>
        <v>0</v>
      </c>
      <c r="L39" s="668">
        <f t="shared" si="15"/>
        <v>25750</v>
      </c>
      <c r="M39" s="668">
        <f t="shared" si="15"/>
        <v>355650</v>
      </c>
      <c r="N39" s="668">
        <f t="shared" si="15"/>
        <v>38220.3</v>
      </c>
      <c r="O39" s="668">
        <f t="shared" si="15"/>
        <v>29951.23</v>
      </c>
      <c r="P39" s="668">
        <f t="shared" si="15"/>
        <v>35194.54</v>
      </c>
      <c r="Q39" s="668">
        <f t="shared" si="15"/>
        <v>25988.640000000003</v>
      </c>
      <c r="R39" s="668">
        <f t="shared" si="15"/>
        <v>14760.01</v>
      </c>
      <c r="S39" s="668">
        <f t="shared" si="15"/>
        <v>32550.630000000005</v>
      </c>
      <c r="T39" s="668">
        <f t="shared" si="15"/>
        <v>0</v>
      </c>
      <c r="U39" s="668">
        <f t="shared" si="15"/>
        <v>0</v>
      </c>
      <c r="V39" s="668">
        <f t="shared" si="15"/>
        <v>0</v>
      </c>
      <c r="W39" s="668">
        <f t="shared" si="15"/>
        <v>0</v>
      </c>
      <c r="X39" s="668">
        <f t="shared" si="15"/>
        <v>0</v>
      </c>
      <c r="Y39" s="668">
        <f t="shared" si="15"/>
        <v>0</v>
      </c>
      <c r="Z39" s="668">
        <f t="shared" si="15"/>
        <v>176665.35000000003</v>
      </c>
      <c r="AA39" s="700">
        <f t="shared" si="14"/>
        <v>0.4967393504850275</v>
      </c>
      <c r="AB39" s="701" t="s">
        <v>798</v>
      </c>
    </row>
    <row r="40" spans="1:28" s="702" customFormat="1" ht="24">
      <c r="A40" s="723"/>
      <c r="B40" s="724"/>
      <c r="C40" s="704">
        <v>3020</v>
      </c>
      <c r="D40" s="202" t="s">
        <v>799</v>
      </c>
      <c r="E40" s="674"/>
      <c r="F40" s="674"/>
      <c r="G40" s="674">
        <f aca="true" t="shared" si="16" ref="G40:G54">E40+F40</f>
        <v>0</v>
      </c>
      <c r="H40" s="674"/>
      <c r="I40" s="674"/>
      <c r="J40" s="674">
        <v>300</v>
      </c>
      <c r="K40" s="674"/>
      <c r="L40" s="674">
        <f aca="true" t="shared" si="17" ref="L40:L54">SUM(H40:K40)</f>
        <v>300</v>
      </c>
      <c r="M40" s="674">
        <f aca="true" t="shared" si="18" ref="M40:M54">G40+L40</f>
        <v>300</v>
      </c>
      <c r="N40" s="674"/>
      <c r="O40" s="674"/>
      <c r="P40" s="674"/>
      <c r="Q40" s="674">
        <v>300</v>
      </c>
      <c r="R40" s="674"/>
      <c r="S40" s="674"/>
      <c r="T40" s="674"/>
      <c r="U40" s="674"/>
      <c r="V40" s="674"/>
      <c r="W40" s="674"/>
      <c r="X40" s="674"/>
      <c r="Y40" s="674"/>
      <c r="Z40" s="674">
        <f aca="true" t="shared" si="19" ref="Z40:Z51">SUM(N40:Y40)</f>
        <v>300</v>
      </c>
      <c r="AA40" s="705">
        <f t="shared" si="14"/>
        <v>1</v>
      </c>
      <c r="AB40" s="886" t="s">
        <v>433</v>
      </c>
    </row>
    <row r="41" spans="1:28" s="702" customFormat="1" ht="14.25" customHeight="1">
      <c r="A41" s="725"/>
      <c r="B41" s="725"/>
      <c r="C41" s="704">
        <v>4010</v>
      </c>
      <c r="D41" s="202" t="s">
        <v>631</v>
      </c>
      <c r="E41" s="684">
        <v>40700</v>
      </c>
      <c r="F41" s="684">
        <v>500</v>
      </c>
      <c r="G41" s="674">
        <f t="shared" si="16"/>
        <v>41200</v>
      </c>
      <c r="H41" s="684"/>
      <c r="I41" s="684"/>
      <c r="J41" s="684"/>
      <c r="K41" s="684"/>
      <c r="L41" s="674">
        <f t="shared" si="17"/>
        <v>0</v>
      </c>
      <c r="M41" s="674">
        <f t="shared" si="18"/>
        <v>41200</v>
      </c>
      <c r="N41" s="674">
        <v>3184</v>
      </c>
      <c r="O41" s="674">
        <v>3276</v>
      </c>
      <c r="P41" s="674">
        <v>3276</v>
      </c>
      <c r="Q41" s="674">
        <v>3276</v>
      </c>
      <c r="R41" s="674">
        <v>3776</v>
      </c>
      <c r="S41" s="674">
        <f>Q41</f>
        <v>3276</v>
      </c>
      <c r="T41" s="674"/>
      <c r="U41" s="674"/>
      <c r="V41" s="674"/>
      <c r="W41" s="674"/>
      <c r="X41" s="674"/>
      <c r="Y41" s="674"/>
      <c r="Z41" s="684">
        <f t="shared" si="19"/>
        <v>20064</v>
      </c>
      <c r="AA41" s="705">
        <f t="shared" si="14"/>
        <v>0.48699029126213594</v>
      </c>
      <c r="AB41" s="887"/>
    </row>
    <row r="42" spans="1:28" s="702" customFormat="1" ht="14.25" customHeight="1">
      <c r="A42" s="725"/>
      <c r="B42" s="725"/>
      <c r="C42" s="704">
        <v>4040</v>
      </c>
      <c r="D42" s="202" t="s">
        <v>1036</v>
      </c>
      <c r="E42" s="684">
        <v>3100</v>
      </c>
      <c r="F42" s="684"/>
      <c r="G42" s="674">
        <f t="shared" si="16"/>
        <v>3100</v>
      </c>
      <c r="H42" s="684"/>
      <c r="I42" s="684">
        <v>213</v>
      </c>
      <c r="J42" s="684"/>
      <c r="K42" s="684"/>
      <c r="L42" s="674">
        <f t="shared" si="17"/>
        <v>213</v>
      </c>
      <c r="M42" s="674">
        <f t="shared" si="18"/>
        <v>3313</v>
      </c>
      <c r="N42" s="674"/>
      <c r="O42" s="674"/>
      <c r="P42" s="674"/>
      <c r="Q42" s="674"/>
      <c r="R42" s="674"/>
      <c r="S42" s="674">
        <f>Q42</f>
        <v>0</v>
      </c>
      <c r="T42" s="674"/>
      <c r="U42" s="674"/>
      <c r="V42" s="674"/>
      <c r="W42" s="674"/>
      <c r="X42" s="674"/>
      <c r="Y42" s="674"/>
      <c r="Z42" s="684">
        <f t="shared" si="19"/>
        <v>0</v>
      </c>
      <c r="AA42" s="705">
        <f t="shared" si="14"/>
        <v>0</v>
      </c>
      <c r="AB42" s="887"/>
    </row>
    <row r="43" spans="1:28" s="702" customFormat="1" ht="14.25" customHeight="1">
      <c r="A43" s="725"/>
      <c r="B43" s="725"/>
      <c r="C43" s="704">
        <v>4110</v>
      </c>
      <c r="D43" s="202" t="s">
        <v>632</v>
      </c>
      <c r="E43" s="674">
        <f>(E41+E42)*17.58%-0.04</f>
        <v>7699.999999999999</v>
      </c>
      <c r="F43" s="674">
        <v>-750</v>
      </c>
      <c r="G43" s="674">
        <f t="shared" si="16"/>
        <v>6949.999999999999</v>
      </c>
      <c r="H43" s="684"/>
      <c r="I43" s="684"/>
      <c r="J43" s="684"/>
      <c r="K43" s="684"/>
      <c r="L43" s="674">
        <f t="shared" si="17"/>
        <v>0</v>
      </c>
      <c r="M43" s="674">
        <f t="shared" si="18"/>
        <v>6949.999999999999</v>
      </c>
      <c r="N43" s="674">
        <v>496.07</v>
      </c>
      <c r="O43" s="674">
        <v>510.4</v>
      </c>
      <c r="P43" s="674">
        <v>510.4</v>
      </c>
      <c r="Q43" s="674">
        <v>510.4</v>
      </c>
      <c r="R43" s="674">
        <v>588.3</v>
      </c>
      <c r="S43" s="674">
        <f>Q43</f>
        <v>510.4</v>
      </c>
      <c r="T43" s="674"/>
      <c r="U43" s="674"/>
      <c r="V43" s="674"/>
      <c r="W43" s="674"/>
      <c r="X43" s="674"/>
      <c r="Y43" s="674"/>
      <c r="Z43" s="684">
        <f t="shared" si="19"/>
        <v>3125.97</v>
      </c>
      <c r="AA43" s="705">
        <f t="shared" si="14"/>
        <v>0.44977985611510796</v>
      </c>
      <c r="AB43" s="887"/>
    </row>
    <row r="44" spans="1:28" s="702" customFormat="1" ht="14.25" customHeight="1">
      <c r="A44" s="725"/>
      <c r="B44" s="725"/>
      <c r="C44" s="704">
        <v>4120</v>
      </c>
      <c r="D44" s="202" t="s">
        <v>639</v>
      </c>
      <c r="E44" s="674">
        <v>1080</v>
      </c>
      <c r="F44" s="674">
        <v>20</v>
      </c>
      <c r="G44" s="674">
        <f t="shared" si="16"/>
        <v>1100</v>
      </c>
      <c r="H44" s="684"/>
      <c r="I44" s="684"/>
      <c r="J44" s="684"/>
      <c r="K44" s="684"/>
      <c r="L44" s="674">
        <f t="shared" si="17"/>
        <v>0</v>
      </c>
      <c r="M44" s="674">
        <f t="shared" si="18"/>
        <v>1100</v>
      </c>
      <c r="N44" s="674">
        <v>78.01</v>
      </c>
      <c r="O44" s="674">
        <v>80.26</v>
      </c>
      <c r="P44" s="674">
        <v>80.26</v>
      </c>
      <c r="Q44" s="674">
        <v>80.26</v>
      </c>
      <c r="R44" s="674">
        <v>92.51</v>
      </c>
      <c r="S44" s="674">
        <f>Q44</f>
        <v>80.26</v>
      </c>
      <c r="T44" s="674"/>
      <c r="U44" s="674"/>
      <c r="V44" s="674"/>
      <c r="W44" s="674"/>
      <c r="X44" s="674"/>
      <c r="Y44" s="674"/>
      <c r="Z44" s="674">
        <f t="shared" si="19"/>
        <v>491.56</v>
      </c>
      <c r="AA44" s="705">
        <f t="shared" si="14"/>
        <v>0.44687272727272725</v>
      </c>
      <c r="AB44" s="888"/>
    </row>
    <row r="45" spans="1:28" s="702" customFormat="1" ht="22.5" customHeight="1">
      <c r="A45" s="725"/>
      <c r="B45" s="725"/>
      <c r="C45" s="704">
        <v>4210</v>
      </c>
      <c r="D45" s="202" t="s">
        <v>998</v>
      </c>
      <c r="E45" s="684">
        <v>40000</v>
      </c>
      <c r="F45" s="684">
        <v>230</v>
      </c>
      <c r="G45" s="674">
        <f t="shared" si="16"/>
        <v>40230</v>
      </c>
      <c r="H45" s="684"/>
      <c r="I45" s="684"/>
      <c r="J45" s="684"/>
      <c r="K45" s="684">
        <v>-7000</v>
      </c>
      <c r="L45" s="674">
        <f t="shared" si="17"/>
        <v>-7000</v>
      </c>
      <c r="M45" s="674">
        <f t="shared" si="18"/>
        <v>33230</v>
      </c>
      <c r="N45" s="674">
        <v>4965.67</v>
      </c>
      <c r="O45" s="674">
        <v>1200.51</v>
      </c>
      <c r="P45" s="674">
        <v>394.12</v>
      </c>
      <c r="Q45" s="674">
        <v>2098.77</v>
      </c>
      <c r="R45" s="674">
        <v>306.53</v>
      </c>
      <c r="S45" s="674">
        <v>1919.28</v>
      </c>
      <c r="T45" s="674"/>
      <c r="U45" s="674"/>
      <c r="V45" s="674"/>
      <c r="W45" s="674"/>
      <c r="X45" s="674"/>
      <c r="Y45" s="674"/>
      <c r="Z45" s="674">
        <f t="shared" si="19"/>
        <v>10884.880000000001</v>
      </c>
      <c r="AA45" s="705">
        <f t="shared" si="14"/>
        <v>0.32756184170929886</v>
      </c>
      <c r="AB45" s="892" t="s">
        <v>0</v>
      </c>
    </row>
    <row r="46" spans="1:28" s="702" customFormat="1" ht="22.5" customHeight="1">
      <c r="A46" s="725"/>
      <c r="B46" s="725"/>
      <c r="C46" s="704">
        <v>4260</v>
      </c>
      <c r="D46" s="202" t="s">
        <v>634</v>
      </c>
      <c r="E46" s="684">
        <v>146100</v>
      </c>
      <c r="F46" s="684"/>
      <c r="G46" s="674">
        <f t="shared" si="16"/>
        <v>146100</v>
      </c>
      <c r="H46" s="684"/>
      <c r="I46" s="684"/>
      <c r="J46" s="684"/>
      <c r="K46" s="684"/>
      <c r="L46" s="674">
        <f t="shared" si="17"/>
        <v>0</v>
      </c>
      <c r="M46" s="674">
        <f t="shared" si="18"/>
        <v>146100</v>
      </c>
      <c r="N46" s="674">
        <v>24057.71</v>
      </c>
      <c r="O46" s="674">
        <v>19542.77</v>
      </c>
      <c r="P46" s="674">
        <v>17977.11</v>
      </c>
      <c r="Q46" s="674">
        <v>15580.65</v>
      </c>
      <c r="R46" s="674">
        <v>5391.35</v>
      </c>
      <c r="S46" s="674">
        <v>8594.54</v>
      </c>
      <c r="T46" s="674"/>
      <c r="U46" s="674"/>
      <c r="V46" s="674"/>
      <c r="W46" s="674"/>
      <c r="X46" s="674"/>
      <c r="Y46" s="674"/>
      <c r="Z46" s="674">
        <f t="shared" si="19"/>
        <v>91144.13</v>
      </c>
      <c r="AA46" s="705">
        <f t="shared" si="14"/>
        <v>0.6238475701574264</v>
      </c>
      <c r="AB46" s="895"/>
    </row>
    <row r="47" spans="1:28" s="702" customFormat="1" ht="22.5" customHeight="1">
      <c r="A47" s="704"/>
      <c r="B47" s="704"/>
      <c r="C47" s="704">
        <v>4270</v>
      </c>
      <c r="D47" s="202" t="s">
        <v>999</v>
      </c>
      <c r="E47" s="674">
        <v>15000</v>
      </c>
      <c r="F47" s="674"/>
      <c r="G47" s="674">
        <f t="shared" si="16"/>
        <v>15000</v>
      </c>
      <c r="H47" s="674"/>
      <c r="I47" s="674"/>
      <c r="J47" s="674">
        <v>-300</v>
      </c>
      <c r="K47" s="674">
        <v>6000</v>
      </c>
      <c r="L47" s="674">
        <f t="shared" si="17"/>
        <v>5700</v>
      </c>
      <c r="M47" s="674">
        <f t="shared" si="18"/>
        <v>20700</v>
      </c>
      <c r="N47" s="674">
        <v>157.5</v>
      </c>
      <c r="O47" s="674">
        <v>574.85</v>
      </c>
      <c r="P47" s="674">
        <v>157.5</v>
      </c>
      <c r="Q47" s="674">
        <v>537.5</v>
      </c>
      <c r="R47" s="674">
        <v>157.5</v>
      </c>
      <c r="S47" s="674">
        <v>13672.5</v>
      </c>
      <c r="T47" s="674"/>
      <c r="U47" s="674"/>
      <c r="V47" s="674"/>
      <c r="W47" s="674"/>
      <c r="X47" s="674"/>
      <c r="Y47" s="674"/>
      <c r="Z47" s="674">
        <f t="shared" si="19"/>
        <v>15257.35</v>
      </c>
      <c r="AA47" s="705">
        <f t="shared" si="14"/>
        <v>0.7370700483091788</v>
      </c>
      <c r="AB47" s="895"/>
    </row>
    <row r="48" spans="1:28" s="697" customFormat="1" ht="22.5" customHeight="1">
      <c r="A48" s="707"/>
      <c r="B48" s="707"/>
      <c r="C48" s="707">
        <v>4280</v>
      </c>
      <c r="D48" s="708" t="s">
        <v>641</v>
      </c>
      <c r="E48" s="709">
        <v>100</v>
      </c>
      <c r="F48" s="709"/>
      <c r="G48" s="674">
        <f t="shared" si="16"/>
        <v>100</v>
      </c>
      <c r="H48" s="709"/>
      <c r="I48" s="709"/>
      <c r="J48" s="709"/>
      <c r="K48" s="709"/>
      <c r="L48" s="674">
        <f t="shared" si="17"/>
        <v>0</v>
      </c>
      <c r="M48" s="674">
        <f t="shared" si="18"/>
        <v>100</v>
      </c>
      <c r="N48" s="674"/>
      <c r="O48" s="674"/>
      <c r="P48" s="674"/>
      <c r="Q48" s="674">
        <v>50</v>
      </c>
      <c r="R48" s="674"/>
      <c r="S48" s="674"/>
      <c r="T48" s="674"/>
      <c r="U48" s="674"/>
      <c r="V48" s="674"/>
      <c r="W48" s="674"/>
      <c r="X48" s="674"/>
      <c r="Y48" s="674"/>
      <c r="Z48" s="674">
        <f t="shared" si="19"/>
        <v>50</v>
      </c>
      <c r="AA48" s="705">
        <f t="shared" si="14"/>
        <v>0.5</v>
      </c>
      <c r="AB48" s="895"/>
    </row>
    <row r="49" spans="1:28" s="702" customFormat="1" ht="22.5" customHeight="1">
      <c r="A49" s="261"/>
      <c r="B49" s="704"/>
      <c r="C49" s="704">
        <v>4300</v>
      </c>
      <c r="D49" s="202" t="s">
        <v>1000</v>
      </c>
      <c r="E49" s="674">
        <v>44880</v>
      </c>
      <c r="F49" s="674"/>
      <c r="G49" s="674">
        <f t="shared" si="16"/>
        <v>44880</v>
      </c>
      <c r="H49" s="674"/>
      <c r="I49" s="674"/>
      <c r="J49" s="674"/>
      <c r="K49" s="674"/>
      <c r="L49" s="674">
        <f t="shared" si="17"/>
        <v>0</v>
      </c>
      <c r="M49" s="674">
        <f t="shared" si="18"/>
        <v>44880</v>
      </c>
      <c r="N49" s="674">
        <v>2065.84</v>
      </c>
      <c r="O49" s="674">
        <v>915.81</v>
      </c>
      <c r="P49" s="674">
        <v>5507.13</v>
      </c>
      <c r="Q49" s="674">
        <f>468.9+44.62</f>
        <v>513.52</v>
      </c>
      <c r="R49" s="674">
        <v>624.42</v>
      </c>
      <c r="S49" s="674">
        <v>893.09</v>
      </c>
      <c r="T49" s="674"/>
      <c r="U49" s="674"/>
      <c r="V49" s="674"/>
      <c r="W49" s="674"/>
      <c r="X49" s="674"/>
      <c r="Y49" s="674"/>
      <c r="Z49" s="674">
        <f t="shared" si="19"/>
        <v>10519.810000000001</v>
      </c>
      <c r="AA49" s="705">
        <f t="shared" si="14"/>
        <v>0.23439861853832444</v>
      </c>
      <c r="AB49" s="896"/>
    </row>
    <row r="50" spans="1:28" s="702" customFormat="1" ht="14.25" customHeight="1">
      <c r="A50" s="261"/>
      <c r="B50" s="704"/>
      <c r="C50" s="704">
        <v>4410</v>
      </c>
      <c r="D50" s="202" t="s">
        <v>635</v>
      </c>
      <c r="E50" s="674">
        <v>200</v>
      </c>
      <c r="F50" s="674"/>
      <c r="G50" s="674">
        <f t="shared" si="16"/>
        <v>200</v>
      </c>
      <c r="H50" s="674"/>
      <c r="I50" s="674"/>
      <c r="J50" s="674"/>
      <c r="K50" s="674"/>
      <c r="L50" s="674">
        <f t="shared" si="17"/>
        <v>0</v>
      </c>
      <c r="M50" s="674">
        <f t="shared" si="18"/>
        <v>200</v>
      </c>
      <c r="N50" s="674"/>
      <c r="O50" s="674"/>
      <c r="P50" s="674"/>
      <c r="Q50" s="674"/>
      <c r="R50" s="674">
        <v>58.51</v>
      </c>
      <c r="S50" s="674"/>
      <c r="T50" s="674"/>
      <c r="U50" s="674"/>
      <c r="V50" s="674"/>
      <c r="W50" s="674"/>
      <c r="X50" s="674"/>
      <c r="Y50" s="674"/>
      <c r="Z50" s="674">
        <f t="shared" si="19"/>
        <v>58.51</v>
      </c>
      <c r="AA50" s="705">
        <f t="shared" si="14"/>
        <v>0.29255</v>
      </c>
      <c r="AB50" s="726" t="s">
        <v>435</v>
      </c>
    </row>
    <row r="51" spans="1:28" s="702" customFormat="1" ht="36">
      <c r="A51" s="261"/>
      <c r="B51" s="704"/>
      <c r="C51" s="704">
        <v>4430</v>
      </c>
      <c r="D51" s="202" t="s">
        <v>1007</v>
      </c>
      <c r="E51" s="674">
        <v>10000</v>
      </c>
      <c r="F51" s="674"/>
      <c r="G51" s="674">
        <f t="shared" si="16"/>
        <v>10000</v>
      </c>
      <c r="H51" s="674"/>
      <c r="I51" s="674"/>
      <c r="J51" s="674"/>
      <c r="K51" s="674"/>
      <c r="L51" s="674">
        <f t="shared" si="17"/>
        <v>0</v>
      </c>
      <c r="M51" s="674">
        <f t="shared" si="18"/>
        <v>10000</v>
      </c>
      <c r="N51" s="674">
        <v>357.48</v>
      </c>
      <c r="O51" s="674">
        <v>315.6</v>
      </c>
      <c r="P51" s="674">
        <v>315.6</v>
      </c>
      <c r="Q51" s="674">
        <v>315.6</v>
      </c>
      <c r="R51" s="674">
        <v>315.6</v>
      </c>
      <c r="S51" s="674">
        <v>407.03</v>
      </c>
      <c r="T51" s="674"/>
      <c r="U51" s="674"/>
      <c r="V51" s="674"/>
      <c r="W51" s="674"/>
      <c r="X51" s="674"/>
      <c r="Y51" s="674"/>
      <c r="Z51" s="674">
        <f t="shared" si="19"/>
        <v>2026.91</v>
      </c>
      <c r="AA51" s="705">
        <f t="shared" si="14"/>
        <v>0.202691</v>
      </c>
      <c r="AB51" s="711" t="s">
        <v>436</v>
      </c>
    </row>
    <row r="52" spans="1:28" s="697" customFormat="1" ht="24">
      <c r="A52" s="261"/>
      <c r="B52" s="704"/>
      <c r="C52" s="704">
        <v>4440</v>
      </c>
      <c r="D52" s="202" t="s">
        <v>428</v>
      </c>
      <c r="E52" s="674">
        <v>1140</v>
      </c>
      <c r="F52" s="674"/>
      <c r="G52" s="674">
        <f t="shared" si="16"/>
        <v>1140</v>
      </c>
      <c r="H52" s="674"/>
      <c r="I52" s="674">
        <v>69</v>
      </c>
      <c r="J52" s="674"/>
      <c r="K52" s="674"/>
      <c r="L52" s="674">
        <f t="shared" si="17"/>
        <v>69</v>
      </c>
      <c r="M52" s="674">
        <f t="shared" si="18"/>
        <v>1209</v>
      </c>
      <c r="N52" s="674">
        <v>94.43</v>
      </c>
      <c r="O52" s="674">
        <v>107.05</v>
      </c>
      <c r="P52" s="674">
        <v>100.74</v>
      </c>
      <c r="Q52" s="674">
        <v>100.74</v>
      </c>
      <c r="R52" s="674">
        <v>100.74</v>
      </c>
      <c r="S52" s="674">
        <f>R52</f>
        <v>100.74</v>
      </c>
      <c r="T52" s="674"/>
      <c r="U52" s="674"/>
      <c r="V52" s="674"/>
      <c r="W52" s="674"/>
      <c r="X52" s="674"/>
      <c r="Y52" s="674"/>
      <c r="Z52" s="674">
        <f>SUM(N52:Y52)</f>
        <v>604.44</v>
      </c>
      <c r="AA52" s="705">
        <f t="shared" si="14"/>
        <v>0.49995037220843674</v>
      </c>
      <c r="AB52" s="711" t="s">
        <v>429</v>
      </c>
    </row>
    <row r="53" spans="1:28" s="697" customFormat="1" ht="14.25" customHeight="1">
      <c r="A53" s="261"/>
      <c r="B53" s="704"/>
      <c r="C53" s="704">
        <v>4480</v>
      </c>
      <c r="D53" s="202" t="s">
        <v>498</v>
      </c>
      <c r="E53" s="674">
        <v>3800</v>
      </c>
      <c r="F53" s="674"/>
      <c r="G53" s="674">
        <f t="shared" si="16"/>
        <v>3800</v>
      </c>
      <c r="H53" s="674"/>
      <c r="I53" s="674">
        <v>25468</v>
      </c>
      <c r="J53" s="674"/>
      <c r="K53" s="674"/>
      <c r="L53" s="674">
        <f t="shared" si="17"/>
        <v>25468</v>
      </c>
      <c r="M53" s="674">
        <f t="shared" si="18"/>
        <v>29268</v>
      </c>
      <c r="N53" s="674">
        <v>323</v>
      </c>
      <c r="O53" s="674">
        <v>314</v>
      </c>
      <c r="P53" s="674">
        <v>5728.32</v>
      </c>
      <c r="Q53" s="674">
        <v>2144.8</v>
      </c>
      <c r="R53" s="674">
        <v>2130.24</v>
      </c>
      <c r="S53" s="674">
        <v>2147.52</v>
      </c>
      <c r="T53" s="674"/>
      <c r="U53" s="674"/>
      <c r="V53" s="674"/>
      <c r="W53" s="674"/>
      <c r="X53" s="674"/>
      <c r="Y53" s="674"/>
      <c r="Z53" s="674">
        <f>SUM(N53:Y53)</f>
        <v>12787.88</v>
      </c>
      <c r="AA53" s="705">
        <f t="shared" si="14"/>
        <v>0.436923602569359</v>
      </c>
      <c r="AB53" s="727" t="s">
        <v>437</v>
      </c>
    </row>
    <row r="54" spans="1:28" s="697" customFormat="1" ht="14.25" customHeight="1">
      <c r="A54" s="261"/>
      <c r="B54" s="704"/>
      <c r="C54" s="704">
        <v>4530</v>
      </c>
      <c r="D54" s="202" t="s">
        <v>430</v>
      </c>
      <c r="E54" s="674">
        <v>16100</v>
      </c>
      <c r="F54" s="674"/>
      <c r="G54" s="674">
        <f t="shared" si="16"/>
        <v>16100</v>
      </c>
      <c r="H54" s="674"/>
      <c r="I54" s="674"/>
      <c r="J54" s="674"/>
      <c r="K54" s="674">
        <v>1000</v>
      </c>
      <c r="L54" s="674">
        <f t="shared" si="17"/>
        <v>1000</v>
      </c>
      <c r="M54" s="674">
        <f t="shared" si="18"/>
        <v>17100</v>
      </c>
      <c r="N54" s="674">
        <v>2440.59</v>
      </c>
      <c r="O54" s="674">
        <v>3113.98</v>
      </c>
      <c r="P54" s="674">
        <v>1147.36</v>
      </c>
      <c r="Q54" s="674">
        <v>480.4</v>
      </c>
      <c r="R54" s="674">
        <v>1218.31</v>
      </c>
      <c r="S54" s="674">
        <v>949.27</v>
      </c>
      <c r="T54" s="674"/>
      <c r="U54" s="674"/>
      <c r="V54" s="674"/>
      <c r="W54" s="674"/>
      <c r="X54" s="674"/>
      <c r="Y54" s="674"/>
      <c r="Z54" s="674">
        <f>SUM(N54:Y54)</f>
        <v>9349.91</v>
      </c>
      <c r="AA54" s="705">
        <f t="shared" si="14"/>
        <v>0.5467783625730994</v>
      </c>
      <c r="AB54" s="711" t="s">
        <v>438</v>
      </c>
    </row>
    <row r="55" spans="1:28" s="702" customFormat="1" ht="16.5" customHeight="1">
      <c r="A55" s="713">
        <v>900</v>
      </c>
      <c r="B55" s="713"/>
      <c r="C55" s="713"/>
      <c r="D55" s="714" t="s">
        <v>979</v>
      </c>
      <c r="E55" s="719">
        <f aca="true" t="shared" si="20" ref="E55:Z55">E56+E72+E85+E97</f>
        <v>1351255.995</v>
      </c>
      <c r="F55" s="719">
        <f t="shared" si="20"/>
        <v>0</v>
      </c>
      <c r="G55" s="719">
        <f t="shared" si="20"/>
        <v>1351255.995</v>
      </c>
      <c r="H55" s="719">
        <f t="shared" si="20"/>
        <v>0</v>
      </c>
      <c r="I55" s="719">
        <f t="shared" si="20"/>
        <v>235254</v>
      </c>
      <c r="J55" s="719">
        <f t="shared" si="20"/>
        <v>0</v>
      </c>
      <c r="K55" s="719">
        <f t="shared" si="20"/>
        <v>235000</v>
      </c>
      <c r="L55" s="719">
        <f t="shared" si="20"/>
        <v>470254</v>
      </c>
      <c r="M55" s="719">
        <f t="shared" si="20"/>
        <v>1821509.995</v>
      </c>
      <c r="N55" s="719">
        <f t="shared" si="20"/>
        <v>114276.52</v>
      </c>
      <c r="O55" s="719">
        <f t="shared" si="20"/>
        <v>129015.06</v>
      </c>
      <c r="P55" s="719">
        <f t="shared" si="20"/>
        <v>111963.63</v>
      </c>
      <c r="Q55" s="719">
        <f t="shared" si="20"/>
        <v>140508.80000000002</v>
      </c>
      <c r="R55" s="719">
        <f t="shared" si="20"/>
        <v>244310.28999999998</v>
      </c>
      <c r="S55" s="719">
        <f t="shared" si="20"/>
        <v>250141.39</v>
      </c>
      <c r="T55" s="719">
        <f t="shared" si="20"/>
        <v>0</v>
      </c>
      <c r="U55" s="719">
        <f t="shared" si="20"/>
        <v>0</v>
      </c>
      <c r="V55" s="719">
        <f t="shared" si="20"/>
        <v>0</v>
      </c>
      <c r="W55" s="719">
        <f t="shared" si="20"/>
        <v>0</v>
      </c>
      <c r="X55" s="719">
        <f t="shared" si="20"/>
        <v>0</v>
      </c>
      <c r="Y55" s="719">
        <f t="shared" si="20"/>
        <v>0</v>
      </c>
      <c r="Z55" s="719">
        <f t="shared" si="20"/>
        <v>990215.6900000002</v>
      </c>
      <c r="AA55" s="720">
        <f t="shared" si="14"/>
        <v>0.5436235281267288</v>
      </c>
      <c r="AB55" s="721"/>
    </row>
    <row r="56" spans="1:28" s="702" customFormat="1" ht="14.25" customHeight="1">
      <c r="A56" s="261"/>
      <c r="B56" s="503">
        <v>90001</v>
      </c>
      <c r="C56" s="503"/>
      <c r="D56" s="699" t="s">
        <v>751</v>
      </c>
      <c r="E56" s="668">
        <f aca="true" t="shared" si="21" ref="E56:Z56">SUM(E57:E71)</f>
        <v>455416</v>
      </c>
      <c r="F56" s="668">
        <f t="shared" si="21"/>
        <v>32850</v>
      </c>
      <c r="G56" s="668">
        <f t="shared" si="21"/>
        <v>488266</v>
      </c>
      <c r="H56" s="668">
        <f t="shared" si="21"/>
        <v>0</v>
      </c>
      <c r="I56" s="668">
        <f t="shared" si="21"/>
        <v>15004</v>
      </c>
      <c r="J56" s="668">
        <f t="shared" si="21"/>
        <v>0</v>
      </c>
      <c r="K56" s="668">
        <f t="shared" si="21"/>
        <v>20000</v>
      </c>
      <c r="L56" s="668">
        <f t="shared" si="21"/>
        <v>35004</v>
      </c>
      <c r="M56" s="668">
        <f t="shared" si="21"/>
        <v>523270</v>
      </c>
      <c r="N56" s="668">
        <f t="shared" si="21"/>
        <v>25286.84</v>
      </c>
      <c r="O56" s="668">
        <f t="shared" si="21"/>
        <v>46703.77999999999</v>
      </c>
      <c r="P56" s="668">
        <f t="shared" si="21"/>
        <v>30258.579999999998</v>
      </c>
      <c r="Q56" s="668">
        <f t="shared" si="21"/>
        <v>48723.20000000001</v>
      </c>
      <c r="R56" s="668">
        <f t="shared" si="21"/>
        <v>31413.069999999996</v>
      </c>
      <c r="S56" s="668">
        <f t="shared" si="21"/>
        <v>57007.03999999999</v>
      </c>
      <c r="T56" s="668">
        <f t="shared" si="21"/>
        <v>0</v>
      </c>
      <c r="U56" s="668">
        <f t="shared" si="21"/>
        <v>0</v>
      </c>
      <c r="V56" s="668">
        <f t="shared" si="21"/>
        <v>0</v>
      </c>
      <c r="W56" s="668">
        <f t="shared" si="21"/>
        <v>0</v>
      </c>
      <c r="X56" s="668">
        <f t="shared" si="21"/>
        <v>0</v>
      </c>
      <c r="Y56" s="668">
        <f t="shared" si="21"/>
        <v>0</v>
      </c>
      <c r="Z56" s="668">
        <f t="shared" si="21"/>
        <v>239392.50999999998</v>
      </c>
      <c r="AA56" s="700">
        <f t="shared" si="14"/>
        <v>0.45749328262655986</v>
      </c>
      <c r="AB56" s="701" t="s">
        <v>798</v>
      </c>
    </row>
    <row r="57" spans="1:28" s="702" customFormat="1" ht="24">
      <c r="A57" s="261"/>
      <c r="B57" s="704"/>
      <c r="C57" s="704">
        <v>3020</v>
      </c>
      <c r="D57" s="202" t="s">
        <v>799</v>
      </c>
      <c r="E57" s="674">
        <f>9*7*12+7000</f>
        <v>7756</v>
      </c>
      <c r="F57" s="674"/>
      <c r="G57" s="674">
        <f aca="true" t="shared" si="22" ref="G57:G71">E57+F57</f>
        <v>7756</v>
      </c>
      <c r="H57" s="674"/>
      <c r="I57" s="674"/>
      <c r="J57" s="674">
        <v>-6000</v>
      </c>
      <c r="K57" s="674"/>
      <c r="L57" s="674">
        <f aca="true" t="shared" si="23" ref="L57:L71">SUM(H57:K57)</f>
        <v>-6000</v>
      </c>
      <c r="M57" s="674">
        <f aca="true" t="shared" si="24" ref="M57:M71">G57+L57</f>
        <v>1756</v>
      </c>
      <c r="N57" s="674"/>
      <c r="O57" s="674"/>
      <c r="P57" s="674">
        <v>147</v>
      </c>
      <c r="Q57" s="674"/>
      <c r="R57" s="674"/>
      <c r="S57" s="674">
        <v>140</v>
      </c>
      <c r="T57" s="674"/>
      <c r="U57" s="674"/>
      <c r="V57" s="674"/>
      <c r="W57" s="674"/>
      <c r="X57" s="674"/>
      <c r="Y57" s="674"/>
      <c r="Z57" s="674">
        <f aca="true" t="shared" si="25" ref="Z57:Z71">SUM(N57:Y57)</f>
        <v>287</v>
      </c>
      <c r="AA57" s="712">
        <f t="shared" si="14"/>
        <v>0.16343963553530752</v>
      </c>
      <c r="AB57" s="886" t="s">
        <v>433</v>
      </c>
    </row>
    <row r="58" spans="1:28" s="702" customFormat="1" ht="14.25" customHeight="1">
      <c r="A58" s="261"/>
      <c r="B58" s="704"/>
      <c r="C58" s="704">
        <v>4010</v>
      </c>
      <c r="D58" s="202" t="s">
        <v>631</v>
      </c>
      <c r="E58" s="674">
        <f>200000-400</f>
        <v>199600</v>
      </c>
      <c r="F58" s="674">
        <v>4000</v>
      </c>
      <c r="G58" s="674">
        <f t="shared" si="22"/>
        <v>203600</v>
      </c>
      <c r="H58" s="674"/>
      <c r="I58" s="674"/>
      <c r="J58" s="674">
        <v>5000</v>
      </c>
      <c r="K58" s="674"/>
      <c r="L58" s="674">
        <f t="shared" si="23"/>
        <v>5000</v>
      </c>
      <c r="M58" s="674">
        <f t="shared" si="24"/>
        <v>208600</v>
      </c>
      <c r="N58" s="674">
        <v>15066.85</v>
      </c>
      <c r="O58" s="674">
        <v>15861.85</v>
      </c>
      <c r="P58" s="674">
        <v>16128.72</v>
      </c>
      <c r="Q58" s="674">
        <v>16808.72</v>
      </c>
      <c r="R58" s="674">
        <v>18262.72</v>
      </c>
      <c r="S58" s="674">
        <v>18613.88</v>
      </c>
      <c r="T58" s="674"/>
      <c r="U58" s="674"/>
      <c r="V58" s="674"/>
      <c r="W58" s="674"/>
      <c r="X58" s="674"/>
      <c r="Y58" s="674"/>
      <c r="Z58" s="684">
        <f t="shared" si="25"/>
        <v>100742.74</v>
      </c>
      <c r="AA58" s="712">
        <f t="shared" si="14"/>
        <v>0.48294697986577184</v>
      </c>
      <c r="AB58" s="887"/>
    </row>
    <row r="59" spans="1:28" s="702" customFormat="1" ht="14.25" customHeight="1">
      <c r="A59" s="261"/>
      <c r="B59" s="704"/>
      <c r="C59" s="704">
        <v>4040</v>
      </c>
      <c r="D59" s="202" t="s">
        <v>638</v>
      </c>
      <c r="E59" s="674">
        <v>15100</v>
      </c>
      <c r="F59" s="674">
        <v>-74</v>
      </c>
      <c r="G59" s="674">
        <f t="shared" si="22"/>
        <v>15026</v>
      </c>
      <c r="H59" s="674"/>
      <c r="I59" s="674">
        <v>974</v>
      </c>
      <c r="J59" s="674"/>
      <c r="K59" s="674"/>
      <c r="L59" s="674">
        <f t="shared" si="23"/>
        <v>974</v>
      </c>
      <c r="M59" s="674">
        <f t="shared" si="24"/>
        <v>16000</v>
      </c>
      <c r="N59" s="674"/>
      <c r="O59" s="674"/>
      <c r="P59" s="674"/>
      <c r="Q59" s="674"/>
      <c r="R59" s="674"/>
      <c r="S59" s="674">
        <f>R59</f>
        <v>0</v>
      </c>
      <c r="T59" s="674"/>
      <c r="U59" s="674"/>
      <c r="V59" s="674"/>
      <c r="W59" s="674"/>
      <c r="X59" s="674"/>
      <c r="Y59" s="674"/>
      <c r="Z59" s="684">
        <f t="shared" si="25"/>
        <v>0</v>
      </c>
      <c r="AA59" s="712">
        <f t="shared" si="14"/>
        <v>0</v>
      </c>
      <c r="AB59" s="887"/>
    </row>
    <row r="60" spans="1:28" s="702" customFormat="1" ht="14.25" customHeight="1">
      <c r="A60" s="261"/>
      <c r="B60" s="704"/>
      <c r="C60" s="704">
        <v>4110</v>
      </c>
      <c r="D60" s="202" t="s">
        <v>439</v>
      </c>
      <c r="E60" s="674">
        <v>36900</v>
      </c>
      <c r="F60" s="674">
        <v>-3000</v>
      </c>
      <c r="G60" s="674">
        <f t="shared" si="22"/>
        <v>33900</v>
      </c>
      <c r="H60" s="674"/>
      <c r="I60" s="674"/>
      <c r="J60" s="674"/>
      <c r="K60" s="674"/>
      <c r="L60" s="674">
        <f t="shared" si="23"/>
        <v>0</v>
      </c>
      <c r="M60" s="674">
        <f t="shared" si="24"/>
        <v>33900</v>
      </c>
      <c r="N60" s="674">
        <v>2347.42</v>
      </c>
      <c r="O60" s="674">
        <v>2471.28</v>
      </c>
      <c r="P60" s="674">
        <v>2512.81</v>
      </c>
      <c r="Q60" s="674">
        <v>2618.79</v>
      </c>
      <c r="R60" s="674">
        <v>2651.32</v>
      </c>
      <c r="S60" s="674">
        <v>2775.38</v>
      </c>
      <c r="T60" s="674"/>
      <c r="U60" s="674"/>
      <c r="V60" s="674"/>
      <c r="W60" s="674"/>
      <c r="X60" s="674"/>
      <c r="Y60" s="674"/>
      <c r="Z60" s="684">
        <f t="shared" si="25"/>
        <v>15377</v>
      </c>
      <c r="AA60" s="712">
        <f t="shared" si="14"/>
        <v>0.45359882005899704</v>
      </c>
      <c r="AB60" s="887"/>
    </row>
    <row r="61" spans="1:28" s="702" customFormat="1" ht="14.25" customHeight="1">
      <c r="A61" s="261"/>
      <c r="B61" s="704"/>
      <c r="C61" s="704">
        <v>4120</v>
      </c>
      <c r="D61" s="202" t="s">
        <v>639</v>
      </c>
      <c r="E61" s="674">
        <v>5163</v>
      </c>
      <c r="F61" s="674">
        <v>200</v>
      </c>
      <c r="G61" s="674">
        <f t="shared" si="22"/>
        <v>5363</v>
      </c>
      <c r="H61" s="674"/>
      <c r="I61" s="674"/>
      <c r="J61" s="674"/>
      <c r="K61" s="674"/>
      <c r="L61" s="674">
        <f t="shared" si="23"/>
        <v>0</v>
      </c>
      <c r="M61" s="674">
        <f t="shared" si="24"/>
        <v>5363</v>
      </c>
      <c r="N61" s="674">
        <v>369.14</v>
      </c>
      <c r="O61" s="674">
        <v>388.62</v>
      </c>
      <c r="P61" s="674">
        <v>395.15</v>
      </c>
      <c r="Q61" s="674">
        <v>411.81</v>
      </c>
      <c r="R61" s="674">
        <v>416.93</v>
      </c>
      <c r="S61" s="674">
        <v>436.44</v>
      </c>
      <c r="T61" s="674"/>
      <c r="U61" s="674"/>
      <c r="V61" s="674"/>
      <c r="W61" s="674"/>
      <c r="X61" s="674"/>
      <c r="Y61" s="674"/>
      <c r="Z61" s="684">
        <f t="shared" si="25"/>
        <v>2418.0899999999997</v>
      </c>
      <c r="AA61" s="705">
        <f t="shared" si="14"/>
        <v>0.45088383367518176</v>
      </c>
      <c r="AB61" s="888"/>
    </row>
    <row r="62" spans="1:28" s="702" customFormat="1" ht="13.5" customHeight="1">
      <c r="A62" s="261"/>
      <c r="B62" s="704"/>
      <c r="C62" s="704">
        <v>4210</v>
      </c>
      <c r="D62" s="202" t="s">
        <v>998</v>
      </c>
      <c r="E62" s="674">
        <v>30000</v>
      </c>
      <c r="F62" s="674">
        <v>25224</v>
      </c>
      <c r="G62" s="674">
        <f t="shared" si="22"/>
        <v>55224</v>
      </c>
      <c r="H62" s="674"/>
      <c r="I62" s="674"/>
      <c r="J62" s="674"/>
      <c r="K62" s="674"/>
      <c r="L62" s="674">
        <f t="shared" si="23"/>
        <v>0</v>
      </c>
      <c r="M62" s="674">
        <f t="shared" si="24"/>
        <v>55224</v>
      </c>
      <c r="N62" s="674">
        <v>1796.92</v>
      </c>
      <c r="O62" s="674">
        <v>2232.65</v>
      </c>
      <c r="P62" s="674">
        <v>3082.35</v>
      </c>
      <c r="Q62" s="674">
        <v>3852.4</v>
      </c>
      <c r="R62" s="674">
        <v>3719.49</v>
      </c>
      <c r="S62" s="674">
        <v>4903.2</v>
      </c>
      <c r="T62" s="674"/>
      <c r="U62" s="674"/>
      <c r="V62" s="674"/>
      <c r="W62" s="674"/>
      <c r="X62" s="674"/>
      <c r="Y62" s="674"/>
      <c r="Z62" s="674">
        <f t="shared" si="25"/>
        <v>19587.01</v>
      </c>
      <c r="AA62" s="705">
        <f t="shared" si="14"/>
        <v>0.3546829277125887</v>
      </c>
      <c r="AB62" s="883" t="s">
        <v>1</v>
      </c>
    </row>
    <row r="63" spans="1:28" s="702" customFormat="1" ht="22.5" customHeight="1">
      <c r="A63" s="261"/>
      <c r="B63" s="704"/>
      <c r="C63" s="704">
        <v>4260</v>
      </c>
      <c r="D63" s="202" t="s">
        <v>634</v>
      </c>
      <c r="E63" s="674">
        <v>79500</v>
      </c>
      <c r="F63" s="674"/>
      <c r="G63" s="674">
        <f t="shared" si="22"/>
        <v>79500</v>
      </c>
      <c r="H63" s="674"/>
      <c r="I63" s="674"/>
      <c r="J63" s="674"/>
      <c r="K63" s="674">
        <v>18000</v>
      </c>
      <c r="L63" s="674">
        <f t="shared" si="23"/>
        <v>18000</v>
      </c>
      <c r="M63" s="674">
        <f t="shared" si="24"/>
        <v>97500</v>
      </c>
      <c r="N63" s="674"/>
      <c r="O63" s="674">
        <v>17195.27</v>
      </c>
      <c r="P63" s="674"/>
      <c r="Q63" s="674">
        <v>16722.88</v>
      </c>
      <c r="R63" s="674"/>
      <c r="S63" s="674">
        <v>16625.17</v>
      </c>
      <c r="T63" s="674"/>
      <c r="U63" s="674"/>
      <c r="V63" s="674"/>
      <c r="W63" s="674"/>
      <c r="X63" s="674"/>
      <c r="Y63" s="674"/>
      <c r="Z63" s="674">
        <f t="shared" si="25"/>
        <v>50543.32</v>
      </c>
      <c r="AA63" s="705">
        <f t="shared" si="14"/>
        <v>0.5183930256410256</v>
      </c>
      <c r="AB63" s="884"/>
    </row>
    <row r="64" spans="1:28" s="702" customFormat="1" ht="20.25" customHeight="1">
      <c r="A64" s="704"/>
      <c r="B64" s="704"/>
      <c r="C64" s="704">
        <v>4270</v>
      </c>
      <c r="D64" s="202" t="s">
        <v>999</v>
      </c>
      <c r="E64" s="674">
        <v>15000</v>
      </c>
      <c r="F64" s="674">
        <v>5000</v>
      </c>
      <c r="G64" s="674">
        <f t="shared" si="22"/>
        <v>20000</v>
      </c>
      <c r="H64" s="674"/>
      <c r="I64" s="674"/>
      <c r="J64" s="674"/>
      <c r="K64" s="674"/>
      <c r="L64" s="674">
        <f t="shared" si="23"/>
        <v>0</v>
      </c>
      <c r="M64" s="674">
        <f t="shared" si="24"/>
        <v>20000</v>
      </c>
      <c r="N64" s="674">
        <v>1620</v>
      </c>
      <c r="O64" s="674">
        <v>1581</v>
      </c>
      <c r="P64" s="674">
        <v>780</v>
      </c>
      <c r="Q64" s="674">
        <v>1810</v>
      </c>
      <c r="R64" s="674">
        <v>490.06</v>
      </c>
      <c r="S64" s="674">
        <v>2480</v>
      </c>
      <c r="T64" s="674"/>
      <c r="U64" s="674"/>
      <c r="V64" s="674"/>
      <c r="W64" s="674"/>
      <c r="X64" s="674"/>
      <c r="Y64" s="674"/>
      <c r="Z64" s="674">
        <f t="shared" si="25"/>
        <v>8761.060000000001</v>
      </c>
      <c r="AA64" s="705">
        <f t="shared" si="14"/>
        <v>0.4380530000000001</v>
      </c>
      <c r="AB64" s="884"/>
    </row>
    <row r="65" spans="1:28" s="697" customFormat="1" ht="30.75" customHeight="1">
      <c r="A65" s="707"/>
      <c r="B65" s="707"/>
      <c r="C65" s="707">
        <v>4280</v>
      </c>
      <c r="D65" s="708" t="s">
        <v>641</v>
      </c>
      <c r="E65" s="709">
        <v>200</v>
      </c>
      <c r="F65" s="709"/>
      <c r="G65" s="674">
        <f t="shared" si="22"/>
        <v>200</v>
      </c>
      <c r="H65" s="709"/>
      <c r="I65" s="709"/>
      <c r="J65" s="709"/>
      <c r="K65" s="709"/>
      <c r="L65" s="674">
        <f t="shared" si="23"/>
        <v>0</v>
      </c>
      <c r="M65" s="674">
        <f t="shared" si="24"/>
        <v>200</v>
      </c>
      <c r="N65" s="674"/>
      <c r="O65" s="674">
        <v>106</v>
      </c>
      <c r="P65" s="674"/>
      <c r="Q65" s="674"/>
      <c r="R65" s="674"/>
      <c r="S65" s="674"/>
      <c r="T65" s="674"/>
      <c r="U65" s="674"/>
      <c r="V65" s="674"/>
      <c r="W65" s="674"/>
      <c r="X65" s="674"/>
      <c r="Y65" s="674"/>
      <c r="Z65" s="674">
        <f t="shared" si="25"/>
        <v>106</v>
      </c>
      <c r="AA65" s="712">
        <f t="shared" si="14"/>
        <v>0.53</v>
      </c>
      <c r="AB65" s="884"/>
    </row>
    <row r="66" spans="1:28" s="702" customFormat="1" ht="26.25" customHeight="1">
      <c r="A66" s="261"/>
      <c r="B66" s="261"/>
      <c r="C66" s="704">
        <v>4300</v>
      </c>
      <c r="D66" s="202" t="s">
        <v>1000</v>
      </c>
      <c r="E66" s="674">
        <v>30000</v>
      </c>
      <c r="F66" s="674"/>
      <c r="G66" s="674">
        <f t="shared" si="22"/>
        <v>30000</v>
      </c>
      <c r="H66" s="674"/>
      <c r="I66" s="674"/>
      <c r="J66" s="674"/>
      <c r="K66" s="674"/>
      <c r="L66" s="674">
        <f t="shared" si="23"/>
        <v>0</v>
      </c>
      <c r="M66" s="674">
        <f t="shared" si="24"/>
        <v>30000</v>
      </c>
      <c r="N66" s="674">
        <v>1087.87</v>
      </c>
      <c r="O66" s="674">
        <v>2123.59</v>
      </c>
      <c r="P66" s="674">
        <f>1143.99+565.08</f>
        <v>1709.0700000000002</v>
      </c>
      <c r="Q66" s="674">
        <v>2315.55</v>
      </c>
      <c r="R66" s="674">
        <v>2749.84</v>
      </c>
      <c r="S66" s="674">
        <v>2889</v>
      </c>
      <c r="T66" s="674"/>
      <c r="U66" s="674"/>
      <c r="V66" s="674"/>
      <c r="W66" s="674"/>
      <c r="X66" s="674"/>
      <c r="Y66" s="674"/>
      <c r="Z66" s="674">
        <f t="shared" si="25"/>
        <v>12874.920000000002</v>
      </c>
      <c r="AA66" s="712">
        <f t="shared" si="14"/>
        <v>0.42916400000000005</v>
      </c>
      <c r="AB66" s="885"/>
    </row>
    <row r="67" spans="1:28" s="702" customFormat="1" ht="14.25" customHeight="1">
      <c r="A67" s="261"/>
      <c r="B67" s="261"/>
      <c r="C67" s="704">
        <v>4410</v>
      </c>
      <c r="D67" s="202" t="s">
        <v>635</v>
      </c>
      <c r="E67" s="674">
        <v>4500</v>
      </c>
      <c r="F67" s="674"/>
      <c r="G67" s="674">
        <f t="shared" si="22"/>
        <v>4500</v>
      </c>
      <c r="H67" s="674"/>
      <c r="I67" s="674"/>
      <c r="J67" s="674"/>
      <c r="K67" s="674"/>
      <c r="L67" s="674">
        <f t="shared" si="23"/>
        <v>0</v>
      </c>
      <c r="M67" s="674">
        <f t="shared" si="24"/>
        <v>4500</v>
      </c>
      <c r="N67" s="674">
        <v>196.07</v>
      </c>
      <c r="O67" s="674">
        <v>217.81</v>
      </c>
      <c r="P67" s="674">
        <v>175.03</v>
      </c>
      <c r="Q67" s="674">
        <v>226.7</v>
      </c>
      <c r="R67" s="674">
        <v>200.1</v>
      </c>
      <c r="S67" s="674">
        <v>224.27</v>
      </c>
      <c r="T67" s="674"/>
      <c r="U67" s="674"/>
      <c r="V67" s="674"/>
      <c r="W67" s="674"/>
      <c r="X67" s="674"/>
      <c r="Y67" s="674"/>
      <c r="Z67" s="674">
        <f t="shared" si="25"/>
        <v>1239.98</v>
      </c>
      <c r="AA67" s="712">
        <f t="shared" si="14"/>
        <v>0.27555111111111114</v>
      </c>
      <c r="AB67" s="726" t="s">
        <v>614</v>
      </c>
    </row>
    <row r="68" spans="1:28" s="702" customFormat="1" ht="36">
      <c r="A68" s="261"/>
      <c r="B68" s="261"/>
      <c r="C68" s="704">
        <v>4430</v>
      </c>
      <c r="D68" s="202" t="s">
        <v>1007</v>
      </c>
      <c r="E68" s="674">
        <v>13000</v>
      </c>
      <c r="F68" s="674"/>
      <c r="G68" s="674">
        <f t="shared" si="22"/>
        <v>13000</v>
      </c>
      <c r="H68" s="674"/>
      <c r="I68" s="674">
        <v>80</v>
      </c>
      <c r="J68" s="674">
        <v>1000</v>
      </c>
      <c r="K68" s="674">
        <v>2000</v>
      </c>
      <c r="L68" s="674">
        <f t="shared" si="23"/>
        <v>3080</v>
      </c>
      <c r="M68" s="674">
        <f t="shared" si="24"/>
        <v>16080</v>
      </c>
      <c r="N68" s="674">
        <v>979.07</v>
      </c>
      <c r="O68" s="674">
        <v>2241.22</v>
      </c>
      <c r="P68" s="674">
        <v>876.62</v>
      </c>
      <c r="Q68" s="674">
        <v>914.62</v>
      </c>
      <c r="R68" s="674">
        <v>823.28</v>
      </c>
      <c r="S68" s="674">
        <v>4569.24</v>
      </c>
      <c r="T68" s="674"/>
      <c r="U68" s="674"/>
      <c r="V68" s="674"/>
      <c r="W68" s="674"/>
      <c r="X68" s="674"/>
      <c r="Y68" s="674"/>
      <c r="Z68" s="674">
        <f t="shared" si="25"/>
        <v>10404.05</v>
      </c>
      <c r="AA68" s="712">
        <f t="shared" si="14"/>
        <v>0.6470180348258706</v>
      </c>
      <c r="AB68" s="711" t="s">
        <v>2</v>
      </c>
    </row>
    <row r="69" spans="1:28" s="717" customFormat="1" ht="24">
      <c r="A69" s="261"/>
      <c r="B69" s="261"/>
      <c r="C69" s="704">
        <v>4440</v>
      </c>
      <c r="D69" s="202" t="s">
        <v>428</v>
      </c>
      <c r="E69" s="674">
        <v>8500</v>
      </c>
      <c r="F69" s="674">
        <v>-500</v>
      </c>
      <c r="G69" s="674">
        <f t="shared" si="22"/>
        <v>8000</v>
      </c>
      <c r="H69" s="674"/>
      <c r="I69" s="674">
        <v>462</v>
      </c>
      <c r="J69" s="674"/>
      <c r="K69" s="674"/>
      <c r="L69" s="674">
        <f t="shared" si="23"/>
        <v>462</v>
      </c>
      <c r="M69" s="674">
        <f t="shared" si="24"/>
        <v>8462</v>
      </c>
      <c r="N69" s="674">
        <v>661.01</v>
      </c>
      <c r="O69" s="674">
        <v>749.35</v>
      </c>
      <c r="P69" s="674">
        <v>705.18</v>
      </c>
      <c r="Q69" s="674">
        <v>705.18</v>
      </c>
      <c r="R69" s="674">
        <v>705.18</v>
      </c>
      <c r="S69" s="674">
        <f>R69</f>
        <v>705.18</v>
      </c>
      <c r="T69" s="674"/>
      <c r="U69" s="674"/>
      <c r="V69" s="674"/>
      <c r="W69" s="674"/>
      <c r="X69" s="674"/>
      <c r="Y69" s="674"/>
      <c r="Z69" s="674">
        <f t="shared" si="25"/>
        <v>4231.08</v>
      </c>
      <c r="AA69" s="712">
        <f t="shared" si="14"/>
        <v>0.5000094540297801</v>
      </c>
      <c r="AB69" s="711" t="s">
        <v>429</v>
      </c>
    </row>
    <row r="70" spans="1:28" s="717" customFormat="1" ht="14.25" customHeight="1">
      <c r="A70" s="261"/>
      <c r="B70" s="261"/>
      <c r="C70" s="704">
        <v>4480</v>
      </c>
      <c r="D70" s="202" t="s">
        <v>498</v>
      </c>
      <c r="E70" s="674"/>
      <c r="F70" s="674"/>
      <c r="G70" s="674"/>
      <c r="H70" s="674"/>
      <c r="I70" s="674">
        <v>13488</v>
      </c>
      <c r="J70" s="674"/>
      <c r="K70" s="674"/>
      <c r="L70" s="674">
        <f t="shared" si="23"/>
        <v>13488</v>
      </c>
      <c r="M70" s="674">
        <f t="shared" si="24"/>
        <v>13488</v>
      </c>
      <c r="N70" s="674"/>
      <c r="O70" s="674"/>
      <c r="P70" s="674">
        <v>3371.7</v>
      </c>
      <c r="Q70" s="674">
        <v>1123.94</v>
      </c>
      <c r="R70" s="674">
        <v>1123.94</v>
      </c>
      <c r="S70" s="674">
        <f>R70</f>
        <v>1123.94</v>
      </c>
      <c r="T70" s="674"/>
      <c r="U70" s="674"/>
      <c r="V70" s="674"/>
      <c r="W70" s="674"/>
      <c r="X70" s="674"/>
      <c r="Y70" s="674"/>
      <c r="Z70" s="674">
        <f t="shared" si="25"/>
        <v>6743.52</v>
      </c>
      <c r="AA70" s="712">
        <f t="shared" si="14"/>
        <v>0.4999644128113879</v>
      </c>
      <c r="AB70" s="711" t="s">
        <v>918</v>
      </c>
    </row>
    <row r="71" spans="1:28" s="717" customFormat="1" ht="14.25" customHeight="1">
      <c r="A71" s="261"/>
      <c r="B71" s="261"/>
      <c r="C71" s="704">
        <v>4530</v>
      </c>
      <c r="D71" s="202" t="s">
        <v>430</v>
      </c>
      <c r="E71" s="674">
        <f>(E62+E63+E64+E66)*22%*30%</f>
        <v>10197</v>
      </c>
      <c r="F71" s="674">
        <v>2000</v>
      </c>
      <c r="G71" s="674">
        <f t="shared" si="22"/>
        <v>12197</v>
      </c>
      <c r="H71" s="674"/>
      <c r="I71" s="674"/>
      <c r="J71" s="674"/>
      <c r="K71" s="674"/>
      <c r="L71" s="674">
        <f t="shared" si="23"/>
        <v>0</v>
      </c>
      <c r="M71" s="674">
        <f t="shared" si="24"/>
        <v>12197</v>
      </c>
      <c r="N71" s="674">
        <v>1162.49</v>
      </c>
      <c r="O71" s="674">
        <v>1535.14</v>
      </c>
      <c r="P71" s="674">
        <v>374.95</v>
      </c>
      <c r="Q71" s="674">
        <v>1212.61</v>
      </c>
      <c r="R71" s="674">
        <v>270.21</v>
      </c>
      <c r="S71" s="674">
        <v>1521.34</v>
      </c>
      <c r="T71" s="674"/>
      <c r="U71" s="674"/>
      <c r="V71" s="674"/>
      <c r="W71" s="674"/>
      <c r="X71" s="674"/>
      <c r="Y71" s="674"/>
      <c r="Z71" s="674">
        <f t="shared" si="25"/>
        <v>6076.74</v>
      </c>
      <c r="AA71" s="712">
        <f t="shared" si="14"/>
        <v>0.4982159547429696</v>
      </c>
      <c r="AB71" s="711" t="s">
        <v>431</v>
      </c>
    </row>
    <row r="72" spans="1:28" s="717" customFormat="1" ht="14.25" customHeight="1">
      <c r="A72" s="503"/>
      <c r="B72" s="503">
        <v>90003</v>
      </c>
      <c r="C72" s="503"/>
      <c r="D72" s="699" t="s">
        <v>794</v>
      </c>
      <c r="E72" s="668">
        <f aca="true" t="shared" si="26" ref="E72:Z72">SUM(E73:E84)</f>
        <v>189950</v>
      </c>
      <c r="F72" s="668">
        <f t="shared" si="26"/>
        <v>-32850</v>
      </c>
      <c r="G72" s="668">
        <f t="shared" si="26"/>
        <v>157100</v>
      </c>
      <c r="H72" s="668">
        <f t="shared" si="26"/>
        <v>0</v>
      </c>
      <c r="I72" s="668">
        <f t="shared" si="26"/>
        <v>217200</v>
      </c>
      <c r="J72" s="668">
        <f t="shared" si="26"/>
        <v>0</v>
      </c>
      <c r="K72" s="668">
        <f t="shared" si="26"/>
        <v>15000</v>
      </c>
      <c r="L72" s="668">
        <f t="shared" si="26"/>
        <v>232200</v>
      </c>
      <c r="M72" s="668">
        <f t="shared" si="26"/>
        <v>389300</v>
      </c>
      <c r="N72" s="668">
        <f t="shared" si="26"/>
        <v>15618.41</v>
      </c>
      <c r="O72" s="668">
        <f t="shared" si="26"/>
        <v>15229.940000000002</v>
      </c>
      <c r="P72" s="668">
        <f t="shared" si="26"/>
        <v>16179.2</v>
      </c>
      <c r="Q72" s="668">
        <f t="shared" si="26"/>
        <v>17198.909999999996</v>
      </c>
      <c r="R72" s="668">
        <f t="shared" si="26"/>
        <v>135922.83</v>
      </c>
      <c r="S72" s="668">
        <f t="shared" si="26"/>
        <v>23316.289999999997</v>
      </c>
      <c r="T72" s="668">
        <f t="shared" si="26"/>
        <v>0</v>
      </c>
      <c r="U72" s="668">
        <f t="shared" si="26"/>
        <v>0</v>
      </c>
      <c r="V72" s="668">
        <f t="shared" si="26"/>
        <v>0</v>
      </c>
      <c r="W72" s="668">
        <f t="shared" si="26"/>
        <v>0</v>
      </c>
      <c r="X72" s="668">
        <f t="shared" si="26"/>
        <v>0</v>
      </c>
      <c r="Y72" s="668">
        <f t="shared" si="26"/>
        <v>0</v>
      </c>
      <c r="Z72" s="668">
        <f t="shared" si="26"/>
        <v>223465.58</v>
      </c>
      <c r="AA72" s="700">
        <f t="shared" si="14"/>
        <v>0.5740189571024916</v>
      </c>
      <c r="AB72" s="701" t="s">
        <v>798</v>
      </c>
    </row>
    <row r="73" spans="1:28" s="717" customFormat="1" ht="24">
      <c r="A73" s="261"/>
      <c r="B73" s="261"/>
      <c r="C73" s="704">
        <v>3020</v>
      </c>
      <c r="D73" s="202" t="s">
        <v>799</v>
      </c>
      <c r="E73" s="674">
        <f>2*7*12</f>
        <v>168</v>
      </c>
      <c r="F73" s="674">
        <f>12*7</f>
        <v>84</v>
      </c>
      <c r="G73" s="674">
        <f aca="true" t="shared" si="27" ref="G73:G84">E73+F73</f>
        <v>252</v>
      </c>
      <c r="H73" s="674"/>
      <c r="I73" s="674"/>
      <c r="J73" s="674"/>
      <c r="K73" s="674"/>
      <c r="L73" s="674">
        <f aca="true" t="shared" si="28" ref="L73:L84">SUM(H73:K73)</f>
        <v>0</v>
      </c>
      <c r="M73" s="674">
        <f aca="true" t="shared" si="29" ref="M73:M84">G73+L73</f>
        <v>252</v>
      </c>
      <c r="N73" s="674"/>
      <c r="O73" s="674"/>
      <c r="P73" s="674">
        <v>63</v>
      </c>
      <c r="Q73" s="674"/>
      <c r="R73" s="674"/>
      <c r="S73" s="674">
        <v>63</v>
      </c>
      <c r="T73" s="674"/>
      <c r="U73" s="674"/>
      <c r="V73" s="674"/>
      <c r="W73" s="674"/>
      <c r="X73" s="674"/>
      <c r="Y73" s="674"/>
      <c r="Z73" s="674">
        <f aca="true" t="shared" si="30" ref="Z73:Z84">SUM(N73:Y73)</f>
        <v>126</v>
      </c>
      <c r="AA73" s="712">
        <f t="shared" si="14"/>
        <v>0.5</v>
      </c>
      <c r="AB73" s="886" t="s">
        <v>433</v>
      </c>
    </row>
    <row r="74" spans="1:28" s="717" customFormat="1" ht="14.25" customHeight="1">
      <c r="A74" s="261"/>
      <c r="B74" s="261"/>
      <c r="C74" s="704">
        <v>4010</v>
      </c>
      <c r="D74" s="202" t="s">
        <v>631</v>
      </c>
      <c r="E74" s="684">
        <v>75000</v>
      </c>
      <c r="F74" s="684">
        <v>2600</v>
      </c>
      <c r="G74" s="674">
        <f t="shared" si="27"/>
        <v>77600</v>
      </c>
      <c r="H74" s="674"/>
      <c r="I74" s="674">
        <v>1300</v>
      </c>
      <c r="J74" s="674"/>
      <c r="K74" s="674"/>
      <c r="L74" s="674">
        <f t="shared" si="28"/>
        <v>1300</v>
      </c>
      <c r="M74" s="674">
        <f t="shared" si="29"/>
        <v>78900</v>
      </c>
      <c r="N74" s="674">
        <v>5838.95</v>
      </c>
      <c r="O74" s="674">
        <v>6366.76</v>
      </c>
      <c r="P74" s="674">
        <v>6227.78</v>
      </c>
      <c r="Q74" s="674">
        <v>6227.78</v>
      </c>
      <c r="R74" s="674">
        <v>7505.74</v>
      </c>
      <c r="S74" s="674">
        <v>8405.74</v>
      </c>
      <c r="T74" s="674"/>
      <c r="U74" s="674"/>
      <c r="V74" s="674"/>
      <c r="W74" s="674"/>
      <c r="X74" s="674"/>
      <c r="Y74" s="674"/>
      <c r="Z74" s="684">
        <f t="shared" si="30"/>
        <v>40572.74999999999</v>
      </c>
      <c r="AA74" s="712">
        <f t="shared" si="14"/>
        <v>0.5142300380228136</v>
      </c>
      <c r="AB74" s="887"/>
    </row>
    <row r="75" spans="1:28" s="717" customFormat="1" ht="14.25" customHeight="1">
      <c r="A75" s="261"/>
      <c r="B75" s="261"/>
      <c r="C75" s="704">
        <v>4040</v>
      </c>
      <c r="D75" s="202" t="s">
        <v>638</v>
      </c>
      <c r="E75" s="684">
        <v>3150</v>
      </c>
      <c r="F75" s="684">
        <f>3352-E75</f>
        <v>202</v>
      </c>
      <c r="G75" s="674">
        <f t="shared" si="27"/>
        <v>3352</v>
      </c>
      <c r="H75" s="674"/>
      <c r="I75" s="674">
        <v>2945</v>
      </c>
      <c r="J75" s="674"/>
      <c r="K75" s="674"/>
      <c r="L75" s="674">
        <f t="shared" si="28"/>
        <v>2945</v>
      </c>
      <c r="M75" s="674">
        <f t="shared" si="29"/>
        <v>6297</v>
      </c>
      <c r="N75" s="674"/>
      <c r="O75" s="674"/>
      <c r="P75" s="674"/>
      <c r="Q75" s="674"/>
      <c r="R75" s="674"/>
      <c r="S75" s="674">
        <f>Q75</f>
        <v>0</v>
      </c>
      <c r="T75" s="674"/>
      <c r="U75" s="674"/>
      <c r="V75" s="674"/>
      <c r="W75" s="674"/>
      <c r="X75" s="674"/>
      <c r="Y75" s="674"/>
      <c r="Z75" s="684">
        <f t="shared" si="30"/>
        <v>0</v>
      </c>
      <c r="AA75" s="712">
        <f t="shared" si="14"/>
        <v>0</v>
      </c>
      <c r="AB75" s="887"/>
    </row>
    <row r="76" spans="1:28" s="717" customFormat="1" ht="14.25" customHeight="1">
      <c r="A76" s="261"/>
      <c r="B76" s="261"/>
      <c r="C76" s="704">
        <v>4110</v>
      </c>
      <c r="D76" s="202" t="s">
        <v>439</v>
      </c>
      <c r="E76" s="684">
        <v>13500</v>
      </c>
      <c r="F76" s="684">
        <v>-1250</v>
      </c>
      <c r="G76" s="674">
        <f t="shared" si="27"/>
        <v>12250</v>
      </c>
      <c r="H76" s="674"/>
      <c r="I76" s="674">
        <v>650</v>
      </c>
      <c r="J76" s="674"/>
      <c r="K76" s="674"/>
      <c r="L76" s="674">
        <f t="shared" si="28"/>
        <v>650</v>
      </c>
      <c r="M76" s="674">
        <f t="shared" si="29"/>
        <v>12900</v>
      </c>
      <c r="N76" s="674">
        <v>909.7</v>
      </c>
      <c r="O76" s="674">
        <v>991.94</v>
      </c>
      <c r="P76" s="674">
        <v>970.28</v>
      </c>
      <c r="Q76" s="674">
        <v>970.29</v>
      </c>
      <c r="R76" s="674">
        <v>1169.4</v>
      </c>
      <c r="S76" s="674">
        <v>1309.62</v>
      </c>
      <c r="T76" s="674"/>
      <c r="U76" s="674"/>
      <c r="V76" s="674"/>
      <c r="W76" s="674"/>
      <c r="X76" s="674"/>
      <c r="Y76" s="674"/>
      <c r="Z76" s="684">
        <f t="shared" si="30"/>
        <v>6321.2300000000005</v>
      </c>
      <c r="AA76" s="712">
        <f t="shared" si="14"/>
        <v>0.4900178294573644</v>
      </c>
      <c r="AB76" s="887"/>
    </row>
    <row r="77" spans="1:28" s="702" customFormat="1" ht="14.25" customHeight="1">
      <c r="A77" s="261"/>
      <c r="B77" s="261"/>
      <c r="C77" s="704">
        <v>4120</v>
      </c>
      <c r="D77" s="202" t="s">
        <v>639</v>
      </c>
      <c r="E77" s="684">
        <v>1900</v>
      </c>
      <c r="F77" s="684">
        <v>50</v>
      </c>
      <c r="G77" s="674">
        <f t="shared" si="27"/>
        <v>1950</v>
      </c>
      <c r="H77" s="674"/>
      <c r="I77" s="674">
        <v>100</v>
      </c>
      <c r="J77" s="674"/>
      <c r="K77" s="674"/>
      <c r="L77" s="674">
        <f t="shared" si="28"/>
        <v>100</v>
      </c>
      <c r="M77" s="674">
        <f t="shared" si="29"/>
        <v>2050</v>
      </c>
      <c r="N77" s="674">
        <v>143.05</v>
      </c>
      <c r="O77" s="674">
        <v>155.99</v>
      </c>
      <c r="P77" s="674">
        <v>152.58</v>
      </c>
      <c r="Q77" s="674">
        <v>152.58</v>
      </c>
      <c r="R77" s="674">
        <v>183.89</v>
      </c>
      <c r="S77" s="674">
        <v>205.94</v>
      </c>
      <c r="T77" s="674"/>
      <c r="U77" s="674"/>
      <c r="V77" s="674"/>
      <c r="W77" s="674"/>
      <c r="X77" s="674"/>
      <c r="Y77" s="674"/>
      <c r="Z77" s="684">
        <f t="shared" si="30"/>
        <v>994.03</v>
      </c>
      <c r="AA77" s="705">
        <f t="shared" si="14"/>
        <v>0.48489268292682924</v>
      </c>
      <c r="AB77" s="888"/>
    </row>
    <row r="78" spans="1:28" s="702" customFormat="1" ht="17.25" customHeight="1">
      <c r="A78" s="261"/>
      <c r="B78" s="704"/>
      <c r="C78" s="704">
        <v>4210</v>
      </c>
      <c r="D78" s="202" t="s">
        <v>998</v>
      </c>
      <c r="E78" s="674">
        <v>45000</v>
      </c>
      <c r="F78" s="674">
        <v>-21816</v>
      </c>
      <c r="G78" s="674">
        <f t="shared" si="27"/>
        <v>23184</v>
      </c>
      <c r="H78" s="674"/>
      <c r="I78" s="674"/>
      <c r="J78" s="674"/>
      <c r="K78" s="674">
        <v>5000</v>
      </c>
      <c r="L78" s="674">
        <f t="shared" si="28"/>
        <v>5000</v>
      </c>
      <c r="M78" s="674">
        <f t="shared" si="29"/>
        <v>28184</v>
      </c>
      <c r="N78" s="674">
        <v>3161.57</v>
      </c>
      <c r="O78" s="674">
        <v>2292.61</v>
      </c>
      <c r="P78" s="674">
        <v>2695.47</v>
      </c>
      <c r="Q78" s="674">
        <v>3318.68</v>
      </c>
      <c r="R78" s="674">
        <v>3501.31</v>
      </c>
      <c r="S78" s="674">
        <v>3840.36</v>
      </c>
      <c r="T78" s="674"/>
      <c r="U78" s="674"/>
      <c r="V78" s="674"/>
      <c r="W78" s="674"/>
      <c r="X78" s="674"/>
      <c r="Y78" s="674"/>
      <c r="Z78" s="684">
        <f t="shared" si="30"/>
        <v>18810</v>
      </c>
      <c r="AA78" s="705">
        <f t="shared" si="14"/>
        <v>0.6673999432302016</v>
      </c>
      <c r="AB78" s="883" t="s">
        <v>3</v>
      </c>
    </row>
    <row r="79" spans="1:28" s="702" customFormat="1" ht="17.25" customHeight="1">
      <c r="A79" s="704"/>
      <c r="B79" s="704"/>
      <c r="C79" s="704">
        <v>4270</v>
      </c>
      <c r="D79" s="202" t="s">
        <v>999</v>
      </c>
      <c r="E79" s="674">
        <v>7000</v>
      </c>
      <c r="F79" s="674">
        <v>-3000</v>
      </c>
      <c r="G79" s="674">
        <f t="shared" si="27"/>
        <v>4000</v>
      </c>
      <c r="H79" s="674"/>
      <c r="I79" s="674"/>
      <c r="J79" s="674"/>
      <c r="K79" s="674"/>
      <c r="L79" s="674">
        <f t="shared" si="28"/>
        <v>0</v>
      </c>
      <c r="M79" s="674">
        <f t="shared" si="29"/>
        <v>4000</v>
      </c>
      <c r="N79" s="674">
        <v>93</v>
      </c>
      <c r="O79" s="674">
        <v>68</v>
      </c>
      <c r="P79" s="674"/>
      <c r="Q79" s="674"/>
      <c r="R79" s="674"/>
      <c r="S79" s="674"/>
      <c r="T79" s="674"/>
      <c r="U79" s="674"/>
      <c r="V79" s="674"/>
      <c r="W79" s="674"/>
      <c r="X79" s="674"/>
      <c r="Y79" s="674"/>
      <c r="Z79" s="674">
        <f t="shared" si="30"/>
        <v>161</v>
      </c>
      <c r="AA79" s="705">
        <f t="shared" si="14"/>
        <v>0.04025</v>
      </c>
      <c r="AB79" s="884"/>
    </row>
    <row r="80" spans="1:28" s="702" customFormat="1" ht="17.25" customHeight="1">
      <c r="A80" s="261"/>
      <c r="B80" s="704"/>
      <c r="C80" s="704">
        <v>4300</v>
      </c>
      <c r="D80" s="202" t="s">
        <v>1000</v>
      </c>
      <c r="E80" s="674">
        <v>27000</v>
      </c>
      <c r="F80" s="674">
        <v>-10000</v>
      </c>
      <c r="G80" s="674">
        <f t="shared" si="27"/>
        <v>17000</v>
      </c>
      <c r="H80" s="674"/>
      <c r="I80" s="674"/>
      <c r="J80" s="674"/>
      <c r="K80" s="674">
        <v>8000</v>
      </c>
      <c r="L80" s="674">
        <f t="shared" si="28"/>
        <v>8000</v>
      </c>
      <c r="M80" s="674">
        <f t="shared" si="29"/>
        <v>25000</v>
      </c>
      <c r="N80" s="674">
        <v>1985.07</v>
      </c>
      <c r="O80" s="674">
        <v>1991.24</v>
      </c>
      <c r="P80" s="674">
        <v>2366.44</v>
      </c>
      <c r="Q80" s="674">
        <v>2353.09</v>
      </c>
      <c r="R80" s="674"/>
      <c r="S80" s="674">
        <v>3959.93</v>
      </c>
      <c r="T80" s="674"/>
      <c r="U80" s="674"/>
      <c r="V80" s="674"/>
      <c r="W80" s="674"/>
      <c r="X80" s="674"/>
      <c r="Y80" s="674"/>
      <c r="Z80" s="674">
        <f t="shared" si="30"/>
        <v>12655.77</v>
      </c>
      <c r="AA80" s="705">
        <f t="shared" si="14"/>
        <v>0.5062308</v>
      </c>
      <c r="AB80" s="885"/>
    </row>
    <row r="81" spans="1:28" s="702" customFormat="1" ht="36">
      <c r="A81" s="261"/>
      <c r="B81" s="704"/>
      <c r="C81" s="704">
        <v>4430</v>
      </c>
      <c r="D81" s="202" t="s">
        <v>1007</v>
      </c>
      <c r="E81" s="674">
        <v>9000</v>
      </c>
      <c r="F81" s="674"/>
      <c r="G81" s="674">
        <f t="shared" si="27"/>
        <v>9000</v>
      </c>
      <c r="H81" s="674"/>
      <c r="I81" s="674">
        <v>29000</v>
      </c>
      <c r="J81" s="674"/>
      <c r="K81" s="674">
        <v>2000</v>
      </c>
      <c r="L81" s="674">
        <f t="shared" si="28"/>
        <v>31000</v>
      </c>
      <c r="M81" s="674">
        <f t="shared" si="29"/>
        <v>40000</v>
      </c>
      <c r="N81" s="674">
        <v>3051.75</v>
      </c>
      <c r="O81" s="674">
        <v>3010.5</v>
      </c>
      <c r="P81" s="674">
        <v>3375</v>
      </c>
      <c r="Q81" s="674">
        <v>3588.75</v>
      </c>
      <c r="R81" s="674">
        <v>105</v>
      </c>
      <c r="S81" s="674">
        <v>5092.94</v>
      </c>
      <c r="T81" s="674"/>
      <c r="U81" s="674"/>
      <c r="V81" s="674"/>
      <c r="W81" s="674"/>
      <c r="X81" s="674"/>
      <c r="Y81" s="674"/>
      <c r="Z81" s="674">
        <f t="shared" si="30"/>
        <v>18223.94</v>
      </c>
      <c r="AA81" s="705">
        <f t="shared" si="14"/>
        <v>0.45559849999999996</v>
      </c>
      <c r="AB81" s="726" t="s">
        <v>440</v>
      </c>
    </row>
    <row r="82" spans="1:28" s="702" customFormat="1" ht="24">
      <c r="A82" s="261"/>
      <c r="B82" s="704"/>
      <c r="C82" s="704">
        <v>4440</v>
      </c>
      <c r="D82" s="202" t="s">
        <v>428</v>
      </c>
      <c r="E82" s="684">
        <f>1990+850</f>
        <v>2840</v>
      </c>
      <c r="F82" s="684">
        <f>3120-E82</f>
        <v>280</v>
      </c>
      <c r="G82" s="674">
        <f t="shared" si="27"/>
        <v>3120</v>
      </c>
      <c r="H82" s="674"/>
      <c r="I82" s="674">
        <v>205</v>
      </c>
      <c r="J82" s="674"/>
      <c r="K82" s="674"/>
      <c r="L82" s="674">
        <f t="shared" si="28"/>
        <v>205</v>
      </c>
      <c r="M82" s="674">
        <f t="shared" si="29"/>
        <v>3325</v>
      </c>
      <c r="N82" s="674">
        <v>259.69</v>
      </c>
      <c r="O82" s="674">
        <v>294.37</v>
      </c>
      <c r="P82" s="674">
        <v>277.03</v>
      </c>
      <c r="Q82" s="674">
        <v>277.03</v>
      </c>
      <c r="R82" s="674">
        <v>277.03</v>
      </c>
      <c r="S82" s="674">
        <f>R82</f>
        <v>277.03</v>
      </c>
      <c r="T82" s="674"/>
      <c r="U82" s="674"/>
      <c r="V82" s="674"/>
      <c r="W82" s="674"/>
      <c r="X82" s="674"/>
      <c r="Y82" s="674"/>
      <c r="Z82" s="674">
        <f t="shared" si="30"/>
        <v>1662.1799999999998</v>
      </c>
      <c r="AA82" s="712">
        <f t="shared" si="14"/>
        <v>0.4999037593984962</v>
      </c>
      <c r="AB82" s="711" t="s">
        <v>429</v>
      </c>
    </row>
    <row r="83" spans="1:28" s="702" customFormat="1" ht="14.25" customHeight="1">
      <c r="A83" s="261"/>
      <c r="B83" s="704"/>
      <c r="C83" s="704">
        <v>4530</v>
      </c>
      <c r="D83" s="202" t="s">
        <v>430</v>
      </c>
      <c r="E83" s="674">
        <v>5392</v>
      </c>
      <c r="F83" s="674"/>
      <c r="G83" s="674">
        <f>E83+F83</f>
        <v>5392</v>
      </c>
      <c r="H83" s="674"/>
      <c r="I83" s="674"/>
      <c r="J83" s="674"/>
      <c r="K83" s="674"/>
      <c r="L83" s="674">
        <f t="shared" si="28"/>
        <v>0</v>
      </c>
      <c r="M83" s="674">
        <f t="shared" si="29"/>
        <v>5392</v>
      </c>
      <c r="N83" s="674">
        <v>175.63</v>
      </c>
      <c r="O83" s="674">
        <v>58.53</v>
      </c>
      <c r="P83" s="674">
        <v>51.62</v>
      </c>
      <c r="Q83" s="674">
        <v>310.71</v>
      </c>
      <c r="R83" s="674">
        <f>8180.46-8096</f>
        <v>84.46000000000004</v>
      </c>
      <c r="S83" s="674">
        <v>161.73</v>
      </c>
      <c r="T83" s="674"/>
      <c r="U83" s="674"/>
      <c r="V83" s="674"/>
      <c r="W83" s="674"/>
      <c r="X83" s="674"/>
      <c r="Y83" s="674"/>
      <c r="Z83" s="674">
        <f>SUM(N83:Y83)</f>
        <v>842.6800000000001</v>
      </c>
      <c r="AA83" s="712">
        <f>Z83/M83</f>
        <v>0.15628338278931753</v>
      </c>
      <c r="AB83" s="711" t="s">
        <v>431</v>
      </c>
    </row>
    <row r="84" spans="1:28" s="702" customFormat="1" ht="25.5" customHeight="1">
      <c r="A84" s="261"/>
      <c r="B84" s="704"/>
      <c r="C84" s="704">
        <v>6080</v>
      </c>
      <c r="D84" s="202" t="s">
        <v>432</v>
      </c>
      <c r="E84" s="674"/>
      <c r="F84" s="674"/>
      <c r="G84" s="674">
        <f t="shared" si="27"/>
        <v>0</v>
      </c>
      <c r="H84" s="674"/>
      <c r="I84" s="674">
        <v>183000</v>
      </c>
      <c r="J84" s="674"/>
      <c r="K84" s="674"/>
      <c r="L84" s="674">
        <f t="shared" si="28"/>
        <v>183000</v>
      </c>
      <c r="M84" s="674">
        <f t="shared" si="29"/>
        <v>183000</v>
      </c>
      <c r="N84" s="674"/>
      <c r="O84" s="674"/>
      <c r="P84" s="674"/>
      <c r="Q84" s="674"/>
      <c r="R84" s="674">
        <f>115000+8096</f>
        <v>123096</v>
      </c>
      <c r="S84" s="674"/>
      <c r="T84" s="674"/>
      <c r="U84" s="674"/>
      <c r="V84" s="674"/>
      <c r="W84" s="674"/>
      <c r="X84" s="674"/>
      <c r="Y84" s="674"/>
      <c r="Z84" s="674">
        <f t="shared" si="30"/>
        <v>123096</v>
      </c>
      <c r="AA84" s="712">
        <f t="shared" si="14"/>
        <v>0.672655737704918</v>
      </c>
      <c r="AB84" s="711" t="s">
        <v>4</v>
      </c>
    </row>
    <row r="85" spans="1:28" s="717" customFormat="1" ht="24">
      <c r="A85" s="261"/>
      <c r="B85" s="503">
        <v>90004</v>
      </c>
      <c r="C85" s="503"/>
      <c r="D85" s="699" t="s">
        <v>441</v>
      </c>
      <c r="E85" s="668">
        <f>SUM(E86:E96)</f>
        <v>68000</v>
      </c>
      <c r="F85" s="668">
        <f>SUM(F86:F96)</f>
        <v>0</v>
      </c>
      <c r="G85" s="668">
        <f>SUM(G86:G96)</f>
        <v>68000</v>
      </c>
      <c r="H85" s="668">
        <f aca="true" t="shared" si="31" ref="H85:Z85">SUM(H86:H96)</f>
        <v>0</v>
      </c>
      <c r="I85" s="668">
        <f t="shared" si="31"/>
        <v>0</v>
      </c>
      <c r="J85" s="668">
        <f>SUM(J86:J96)</f>
        <v>0</v>
      </c>
      <c r="K85" s="668">
        <f>SUM(K86:K96)</f>
        <v>0</v>
      </c>
      <c r="L85" s="668">
        <f t="shared" si="31"/>
        <v>0</v>
      </c>
      <c r="M85" s="668">
        <f t="shared" si="31"/>
        <v>68000</v>
      </c>
      <c r="N85" s="668">
        <f t="shared" si="31"/>
        <v>3056.1899999999996</v>
      </c>
      <c r="O85" s="668">
        <f t="shared" si="31"/>
        <v>2996.0299999999997</v>
      </c>
      <c r="P85" s="668">
        <f t="shared" si="31"/>
        <v>3226.060000000001</v>
      </c>
      <c r="Q85" s="668">
        <f t="shared" si="31"/>
        <v>6676.0199999999995</v>
      </c>
      <c r="R85" s="668">
        <f t="shared" si="31"/>
        <v>6868.54</v>
      </c>
      <c r="S85" s="668">
        <f t="shared" si="31"/>
        <v>9869.489999999998</v>
      </c>
      <c r="T85" s="668">
        <f t="shared" si="31"/>
        <v>0</v>
      </c>
      <c r="U85" s="668">
        <f t="shared" si="31"/>
        <v>0</v>
      </c>
      <c r="V85" s="668">
        <f t="shared" si="31"/>
        <v>0</v>
      </c>
      <c r="W85" s="668">
        <f t="shared" si="31"/>
        <v>0</v>
      </c>
      <c r="X85" s="668">
        <f t="shared" si="31"/>
        <v>0</v>
      </c>
      <c r="Y85" s="668">
        <f t="shared" si="31"/>
        <v>0</v>
      </c>
      <c r="Z85" s="668">
        <f t="shared" si="31"/>
        <v>32692.329999999994</v>
      </c>
      <c r="AA85" s="700">
        <f t="shared" si="14"/>
        <v>0.48076955882352934</v>
      </c>
      <c r="AB85" s="701" t="s">
        <v>798</v>
      </c>
    </row>
    <row r="86" spans="1:28" s="702" customFormat="1" ht="24">
      <c r="A86" s="261"/>
      <c r="B86" s="704"/>
      <c r="C86" s="704">
        <v>3020</v>
      </c>
      <c r="D86" s="202" t="s">
        <v>799</v>
      </c>
      <c r="E86" s="674">
        <v>84</v>
      </c>
      <c r="F86" s="674"/>
      <c r="G86" s="674">
        <f aca="true" t="shared" si="32" ref="G86:G96">E86+F86</f>
        <v>84</v>
      </c>
      <c r="H86" s="674"/>
      <c r="I86" s="674"/>
      <c r="J86" s="674"/>
      <c r="K86" s="674"/>
      <c r="L86" s="674">
        <f aca="true" t="shared" si="33" ref="L86:L96">SUM(H86:K86)</f>
        <v>0</v>
      </c>
      <c r="M86" s="674">
        <f aca="true" t="shared" si="34" ref="M86:M96">G86+L86</f>
        <v>84</v>
      </c>
      <c r="N86" s="674"/>
      <c r="O86" s="674"/>
      <c r="P86" s="674">
        <v>21</v>
      </c>
      <c r="Q86" s="674"/>
      <c r="R86" s="674"/>
      <c r="S86" s="674">
        <v>21</v>
      </c>
      <c r="T86" s="674"/>
      <c r="U86" s="674"/>
      <c r="V86" s="674"/>
      <c r="W86" s="674"/>
      <c r="X86" s="674"/>
      <c r="Y86" s="674"/>
      <c r="Z86" s="674">
        <f aca="true" t="shared" si="35" ref="Z86:Z96">SUM(N86:Y86)</f>
        <v>42</v>
      </c>
      <c r="AA86" s="712">
        <f t="shared" si="14"/>
        <v>0.5</v>
      </c>
      <c r="AB86" s="889" t="s">
        <v>442</v>
      </c>
    </row>
    <row r="87" spans="1:28" s="702" customFormat="1" ht="14.25" customHeight="1">
      <c r="A87" s="261"/>
      <c r="B87" s="704"/>
      <c r="C87" s="704">
        <v>4010</v>
      </c>
      <c r="D87" s="202" t="s">
        <v>631</v>
      </c>
      <c r="E87" s="674">
        <v>30000</v>
      </c>
      <c r="F87" s="674"/>
      <c r="G87" s="674">
        <f t="shared" si="32"/>
        <v>30000</v>
      </c>
      <c r="H87" s="674"/>
      <c r="I87" s="674">
        <v>700</v>
      </c>
      <c r="J87" s="674"/>
      <c r="K87" s="674"/>
      <c r="L87" s="674">
        <f t="shared" si="33"/>
        <v>700</v>
      </c>
      <c r="M87" s="674">
        <f t="shared" si="34"/>
        <v>30700</v>
      </c>
      <c r="N87" s="674">
        <v>2256.72</v>
      </c>
      <c r="O87" s="674">
        <v>2470.35</v>
      </c>
      <c r="P87" s="674">
        <v>2496.63</v>
      </c>
      <c r="Q87" s="674">
        <v>2496.63</v>
      </c>
      <c r="R87" s="674">
        <v>3044.07</v>
      </c>
      <c r="S87" s="674">
        <v>3494.41</v>
      </c>
      <c r="T87" s="674"/>
      <c r="U87" s="674"/>
      <c r="V87" s="674"/>
      <c r="W87" s="674"/>
      <c r="X87" s="674"/>
      <c r="Y87" s="674"/>
      <c r="Z87" s="684">
        <f t="shared" si="35"/>
        <v>16258.81</v>
      </c>
      <c r="AA87" s="712">
        <f t="shared" si="14"/>
        <v>0.5296029315960912</v>
      </c>
      <c r="AB87" s="890"/>
    </row>
    <row r="88" spans="1:28" s="702" customFormat="1" ht="14.25" customHeight="1">
      <c r="A88" s="261"/>
      <c r="B88" s="704"/>
      <c r="C88" s="704">
        <v>4040</v>
      </c>
      <c r="D88" s="202" t="s">
        <v>638</v>
      </c>
      <c r="E88" s="674">
        <v>2200</v>
      </c>
      <c r="F88" s="674"/>
      <c r="G88" s="674">
        <f t="shared" si="32"/>
        <v>2200</v>
      </c>
      <c r="H88" s="674"/>
      <c r="I88" s="674">
        <v>250</v>
      </c>
      <c r="J88" s="674"/>
      <c r="K88" s="674"/>
      <c r="L88" s="674">
        <f t="shared" si="33"/>
        <v>250</v>
      </c>
      <c r="M88" s="674">
        <f t="shared" si="34"/>
        <v>2450</v>
      </c>
      <c r="N88" s="674"/>
      <c r="O88" s="674"/>
      <c r="P88" s="674"/>
      <c r="Q88" s="674"/>
      <c r="R88" s="674"/>
      <c r="S88" s="674">
        <f>Q88</f>
        <v>0</v>
      </c>
      <c r="T88" s="674"/>
      <c r="U88" s="674"/>
      <c r="V88" s="674"/>
      <c r="W88" s="674"/>
      <c r="X88" s="674"/>
      <c r="Y88" s="674"/>
      <c r="Z88" s="684">
        <f t="shared" si="35"/>
        <v>0</v>
      </c>
      <c r="AA88" s="712">
        <f t="shared" si="14"/>
        <v>0</v>
      </c>
      <c r="AB88" s="890"/>
    </row>
    <row r="89" spans="1:28" s="702" customFormat="1" ht="14.25" customHeight="1">
      <c r="A89" s="261"/>
      <c r="B89" s="704"/>
      <c r="C89" s="704">
        <v>4110</v>
      </c>
      <c r="D89" s="202" t="s">
        <v>632</v>
      </c>
      <c r="E89" s="674">
        <v>5700</v>
      </c>
      <c r="F89" s="674">
        <v>-650</v>
      </c>
      <c r="G89" s="674">
        <f t="shared" si="32"/>
        <v>5050</v>
      </c>
      <c r="H89" s="674"/>
      <c r="I89" s="674">
        <v>120</v>
      </c>
      <c r="J89" s="674"/>
      <c r="K89" s="674"/>
      <c r="L89" s="674">
        <f t="shared" si="33"/>
        <v>120</v>
      </c>
      <c r="M89" s="674">
        <f t="shared" si="34"/>
        <v>5170</v>
      </c>
      <c r="N89" s="674">
        <v>351.6</v>
      </c>
      <c r="O89" s="674">
        <v>384.89</v>
      </c>
      <c r="P89" s="674">
        <v>388.97</v>
      </c>
      <c r="Q89" s="674">
        <v>388.98</v>
      </c>
      <c r="R89" s="674">
        <v>474.26</v>
      </c>
      <c r="S89" s="674">
        <v>517.57</v>
      </c>
      <c r="T89" s="674"/>
      <c r="U89" s="674"/>
      <c r="V89" s="674"/>
      <c r="W89" s="674"/>
      <c r="X89" s="674"/>
      <c r="Y89" s="674"/>
      <c r="Z89" s="684">
        <f t="shared" si="35"/>
        <v>2506.27</v>
      </c>
      <c r="AA89" s="712">
        <f t="shared" si="14"/>
        <v>0.4847717601547389</v>
      </c>
      <c r="AB89" s="890"/>
    </row>
    <row r="90" spans="1:28" s="702" customFormat="1" ht="14.25" customHeight="1">
      <c r="A90" s="261"/>
      <c r="B90" s="704"/>
      <c r="C90" s="704">
        <v>4120</v>
      </c>
      <c r="D90" s="202" t="s">
        <v>639</v>
      </c>
      <c r="E90" s="674">
        <v>800</v>
      </c>
      <c r="F90" s="674"/>
      <c r="G90" s="674">
        <f t="shared" si="32"/>
        <v>800</v>
      </c>
      <c r="H90" s="674"/>
      <c r="I90" s="674">
        <v>20</v>
      </c>
      <c r="J90" s="674"/>
      <c r="K90" s="674"/>
      <c r="L90" s="674">
        <f t="shared" si="33"/>
        <v>20</v>
      </c>
      <c r="M90" s="674">
        <f t="shared" si="34"/>
        <v>820</v>
      </c>
      <c r="N90" s="674">
        <v>55.29</v>
      </c>
      <c r="O90" s="674">
        <v>60.52</v>
      </c>
      <c r="P90" s="674">
        <v>61.17</v>
      </c>
      <c r="Q90" s="674">
        <v>61.17</v>
      </c>
      <c r="R90" s="674">
        <v>74.58</v>
      </c>
      <c r="S90" s="674">
        <v>81.39</v>
      </c>
      <c r="T90" s="674"/>
      <c r="U90" s="674"/>
      <c r="V90" s="674"/>
      <c r="W90" s="674"/>
      <c r="X90" s="674"/>
      <c r="Y90" s="674"/>
      <c r="Z90" s="684">
        <f t="shared" si="35"/>
        <v>394.12</v>
      </c>
      <c r="AA90" s="712">
        <f t="shared" si="14"/>
        <v>0.4806341463414634</v>
      </c>
      <c r="AB90" s="891"/>
    </row>
    <row r="91" spans="1:28" s="702" customFormat="1" ht="36">
      <c r="A91" s="261"/>
      <c r="B91" s="704"/>
      <c r="C91" s="704">
        <v>4170</v>
      </c>
      <c r="D91" s="202" t="s">
        <v>640</v>
      </c>
      <c r="E91" s="674">
        <f>350*7</f>
        <v>2450</v>
      </c>
      <c r="F91" s="674"/>
      <c r="G91" s="674">
        <f t="shared" si="32"/>
        <v>2450</v>
      </c>
      <c r="H91" s="674"/>
      <c r="I91" s="674">
        <v>82</v>
      </c>
      <c r="J91" s="674"/>
      <c r="K91" s="674"/>
      <c r="L91" s="674">
        <f t="shared" si="33"/>
        <v>82</v>
      </c>
      <c r="M91" s="674">
        <f t="shared" si="34"/>
        <v>2532</v>
      </c>
      <c r="N91" s="674"/>
      <c r="O91" s="674"/>
      <c r="P91" s="674"/>
      <c r="Q91" s="674">
        <v>389.51</v>
      </c>
      <c r="R91" s="674">
        <v>389.51</v>
      </c>
      <c r="S91" s="674">
        <f>R91</f>
        <v>389.51</v>
      </c>
      <c r="T91" s="674"/>
      <c r="U91" s="674"/>
      <c r="V91" s="674"/>
      <c r="W91" s="674"/>
      <c r="X91" s="674"/>
      <c r="Y91" s="674"/>
      <c r="Z91" s="674">
        <f t="shared" si="35"/>
        <v>1168.53</v>
      </c>
      <c r="AA91" s="712">
        <f t="shared" si="14"/>
        <v>0.4615047393364929</v>
      </c>
      <c r="AB91" s="726" t="s">
        <v>707</v>
      </c>
    </row>
    <row r="92" spans="1:28" s="702" customFormat="1" ht="18" customHeight="1">
      <c r="A92" s="261"/>
      <c r="B92" s="704"/>
      <c r="C92" s="704">
        <v>4210</v>
      </c>
      <c r="D92" s="202" t="s">
        <v>998</v>
      </c>
      <c r="E92" s="674">
        <v>21000</v>
      </c>
      <c r="F92" s="674"/>
      <c r="G92" s="674">
        <f t="shared" si="32"/>
        <v>21000</v>
      </c>
      <c r="H92" s="674"/>
      <c r="I92" s="674">
        <v>-1229</v>
      </c>
      <c r="J92" s="674"/>
      <c r="K92" s="674"/>
      <c r="L92" s="674">
        <f t="shared" si="33"/>
        <v>-1229</v>
      </c>
      <c r="M92" s="674">
        <f t="shared" si="34"/>
        <v>19771</v>
      </c>
      <c r="N92" s="674">
        <v>211.48</v>
      </c>
      <c r="O92" s="674"/>
      <c r="P92" s="674">
        <v>178.53</v>
      </c>
      <c r="Q92" s="674">
        <v>3146.76</v>
      </c>
      <c r="R92" s="674">
        <v>2442.95</v>
      </c>
      <c r="S92" s="674">
        <v>4948.15</v>
      </c>
      <c r="T92" s="674"/>
      <c r="U92" s="674"/>
      <c r="V92" s="674"/>
      <c r="W92" s="674"/>
      <c r="X92" s="674"/>
      <c r="Y92" s="674"/>
      <c r="Z92" s="674">
        <f t="shared" si="35"/>
        <v>10927.869999999999</v>
      </c>
      <c r="AA92" s="712">
        <f t="shared" si="14"/>
        <v>0.5527221688331394</v>
      </c>
      <c r="AB92" s="883" t="s">
        <v>5</v>
      </c>
    </row>
    <row r="93" spans="1:28" s="702" customFormat="1" ht="18" customHeight="1">
      <c r="A93" s="261"/>
      <c r="B93" s="704"/>
      <c r="C93" s="704">
        <v>4270</v>
      </c>
      <c r="D93" s="202" t="s">
        <v>999</v>
      </c>
      <c r="E93" s="674">
        <v>2000</v>
      </c>
      <c r="F93" s="674">
        <v>650</v>
      </c>
      <c r="G93" s="674">
        <f t="shared" si="32"/>
        <v>2650</v>
      </c>
      <c r="H93" s="674"/>
      <c r="I93" s="674"/>
      <c r="J93" s="674"/>
      <c r="K93" s="674"/>
      <c r="L93" s="674">
        <f t="shared" si="33"/>
        <v>0</v>
      </c>
      <c r="M93" s="674">
        <f t="shared" si="34"/>
        <v>2650</v>
      </c>
      <c r="N93" s="674"/>
      <c r="O93" s="674"/>
      <c r="P93" s="674"/>
      <c r="Q93" s="674">
        <v>63.28</v>
      </c>
      <c r="R93" s="674">
        <v>80</v>
      </c>
      <c r="S93" s="674">
        <v>230</v>
      </c>
      <c r="T93" s="674"/>
      <c r="U93" s="674"/>
      <c r="V93" s="674"/>
      <c r="W93" s="674"/>
      <c r="X93" s="674"/>
      <c r="Y93" s="674"/>
      <c r="Z93" s="674">
        <f t="shared" si="35"/>
        <v>373.28</v>
      </c>
      <c r="AA93" s="712">
        <f t="shared" si="14"/>
        <v>0.14086037735849055</v>
      </c>
      <c r="AB93" s="884"/>
    </row>
    <row r="94" spans="1:28" s="702" customFormat="1" ht="18" customHeight="1">
      <c r="A94" s="261"/>
      <c r="B94" s="704"/>
      <c r="C94" s="704">
        <v>4300</v>
      </c>
      <c r="D94" s="202" t="s">
        <v>1000</v>
      </c>
      <c r="E94" s="674">
        <v>1000</v>
      </c>
      <c r="F94" s="674"/>
      <c r="G94" s="674">
        <f t="shared" si="32"/>
        <v>1000</v>
      </c>
      <c r="H94" s="674"/>
      <c r="I94" s="674"/>
      <c r="J94" s="674"/>
      <c r="K94" s="674"/>
      <c r="L94" s="674">
        <f t="shared" si="33"/>
        <v>0</v>
      </c>
      <c r="M94" s="674">
        <f t="shared" si="34"/>
        <v>1000</v>
      </c>
      <c r="N94" s="674"/>
      <c r="O94" s="674"/>
      <c r="P94" s="674"/>
      <c r="Q94" s="674">
        <v>6.15</v>
      </c>
      <c r="R94" s="674">
        <v>120</v>
      </c>
      <c r="S94" s="674"/>
      <c r="T94" s="674"/>
      <c r="U94" s="674"/>
      <c r="V94" s="674"/>
      <c r="W94" s="674"/>
      <c r="X94" s="674"/>
      <c r="Y94" s="674"/>
      <c r="Z94" s="674">
        <f t="shared" si="35"/>
        <v>126.15</v>
      </c>
      <c r="AA94" s="712">
        <f t="shared" si="14"/>
        <v>0.12615</v>
      </c>
      <c r="AB94" s="885"/>
    </row>
    <row r="95" spans="1:28" s="702" customFormat="1" ht="24">
      <c r="A95" s="261"/>
      <c r="B95" s="704"/>
      <c r="C95" s="704">
        <v>4440</v>
      </c>
      <c r="D95" s="202" t="s">
        <v>428</v>
      </c>
      <c r="E95" s="674">
        <v>850</v>
      </c>
      <c r="F95" s="674"/>
      <c r="G95" s="674">
        <f t="shared" si="32"/>
        <v>850</v>
      </c>
      <c r="H95" s="674"/>
      <c r="I95" s="674">
        <v>57</v>
      </c>
      <c r="J95" s="674"/>
      <c r="K95" s="674"/>
      <c r="L95" s="674">
        <f t="shared" si="33"/>
        <v>57</v>
      </c>
      <c r="M95" s="674">
        <f t="shared" si="34"/>
        <v>907</v>
      </c>
      <c r="N95" s="674">
        <v>70.83</v>
      </c>
      <c r="O95" s="674">
        <v>80.27</v>
      </c>
      <c r="P95" s="674">
        <v>75.55</v>
      </c>
      <c r="Q95" s="674">
        <v>75.55</v>
      </c>
      <c r="R95" s="674">
        <v>75.55</v>
      </c>
      <c r="S95" s="674">
        <f>R95</f>
        <v>75.55</v>
      </c>
      <c r="T95" s="674"/>
      <c r="U95" s="674"/>
      <c r="V95" s="674"/>
      <c r="W95" s="674"/>
      <c r="X95" s="674"/>
      <c r="Y95" s="674"/>
      <c r="Z95" s="674">
        <f t="shared" si="35"/>
        <v>453.3</v>
      </c>
      <c r="AA95" s="712">
        <f t="shared" si="14"/>
        <v>0.4997794928335171</v>
      </c>
      <c r="AB95" s="711" t="s">
        <v>429</v>
      </c>
    </row>
    <row r="96" spans="1:28" s="702" customFormat="1" ht="14.25" customHeight="1">
      <c r="A96" s="261"/>
      <c r="B96" s="704"/>
      <c r="C96" s="704">
        <v>4530</v>
      </c>
      <c r="D96" s="202" t="s">
        <v>430</v>
      </c>
      <c r="E96" s="674">
        <v>1916</v>
      </c>
      <c r="F96" s="674"/>
      <c r="G96" s="674">
        <f t="shared" si="32"/>
        <v>1916</v>
      </c>
      <c r="H96" s="674"/>
      <c r="I96" s="674"/>
      <c r="J96" s="674"/>
      <c r="K96" s="674"/>
      <c r="L96" s="674">
        <f t="shared" si="33"/>
        <v>0</v>
      </c>
      <c r="M96" s="674">
        <f t="shared" si="34"/>
        <v>1916</v>
      </c>
      <c r="N96" s="674">
        <v>110.27</v>
      </c>
      <c r="O96" s="674"/>
      <c r="P96" s="674">
        <v>4.21</v>
      </c>
      <c r="Q96" s="674">
        <v>47.99</v>
      </c>
      <c r="R96" s="674">
        <v>167.62</v>
      </c>
      <c r="S96" s="674">
        <v>111.91</v>
      </c>
      <c r="T96" s="674"/>
      <c r="U96" s="674"/>
      <c r="V96" s="674"/>
      <c r="W96" s="674"/>
      <c r="X96" s="674"/>
      <c r="Y96" s="674"/>
      <c r="Z96" s="674">
        <f t="shared" si="35"/>
        <v>442</v>
      </c>
      <c r="AA96" s="712">
        <f t="shared" si="14"/>
        <v>0.23068893528183715</v>
      </c>
      <c r="AB96" s="711" t="s">
        <v>431</v>
      </c>
    </row>
    <row r="97" spans="1:28" s="702" customFormat="1" ht="14.25" customHeight="1">
      <c r="A97" s="261"/>
      <c r="B97" s="503">
        <v>90095</v>
      </c>
      <c r="C97" s="503"/>
      <c r="D97" s="699" t="s">
        <v>162</v>
      </c>
      <c r="E97" s="668">
        <f aca="true" t="shared" si="36" ref="E97:Z97">SUM(E98:E118)</f>
        <v>637889.995</v>
      </c>
      <c r="F97" s="668">
        <f t="shared" si="36"/>
        <v>0</v>
      </c>
      <c r="G97" s="668">
        <f t="shared" si="36"/>
        <v>637889.995</v>
      </c>
      <c r="H97" s="668">
        <f t="shared" si="36"/>
        <v>0</v>
      </c>
      <c r="I97" s="668">
        <f t="shared" si="36"/>
        <v>3050</v>
      </c>
      <c r="J97" s="668">
        <f t="shared" si="36"/>
        <v>0</v>
      </c>
      <c r="K97" s="668">
        <f t="shared" si="36"/>
        <v>200000</v>
      </c>
      <c r="L97" s="668">
        <f t="shared" si="36"/>
        <v>203050</v>
      </c>
      <c r="M97" s="668">
        <f t="shared" si="36"/>
        <v>840939.995</v>
      </c>
      <c r="N97" s="668">
        <f t="shared" si="36"/>
        <v>70315.08</v>
      </c>
      <c r="O97" s="668">
        <f t="shared" si="36"/>
        <v>64085.31</v>
      </c>
      <c r="P97" s="668">
        <f t="shared" si="36"/>
        <v>62299.79000000001</v>
      </c>
      <c r="Q97" s="668">
        <f t="shared" si="36"/>
        <v>67910.67</v>
      </c>
      <c r="R97" s="668">
        <f t="shared" si="36"/>
        <v>70105.84999999999</v>
      </c>
      <c r="S97" s="668">
        <f t="shared" si="36"/>
        <v>159948.57000000004</v>
      </c>
      <c r="T97" s="668">
        <f t="shared" si="36"/>
        <v>0</v>
      </c>
      <c r="U97" s="668">
        <f t="shared" si="36"/>
        <v>0</v>
      </c>
      <c r="V97" s="668">
        <f t="shared" si="36"/>
        <v>0</v>
      </c>
      <c r="W97" s="668">
        <f t="shared" si="36"/>
        <v>0</v>
      </c>
      <c r="X97" s="668">
        <f t="shared" si="36"/>
        <v>0</v>
      </c>
      <c r="Y97" s="668">
        <f t="shared" si="36"/>
        <v>0</v>
      </c>
      <c r="Z97" s="668">
        <f t="shared" si="36"/>
        <v>494665.27000000014</v>
      </c>
      <c r="AA97" s="700">
        <f t="shared" si="14"/>
        <v>0.5882289734596344</v>
      </c>
      <c r="AB97" s="701" t="s">
        <v>798</v>
      </c>
    </row>
    <row r="98" spans="1:28" s="702" customFormat="1" ht="24">
      <c r="A98" s="704"/>
      <c r="B98" s="704"/>
      <c r="C98" s="704">
        <v>3020</v>
      </c>
      <c r="D98" s="202" t="s">
        <v>799</v>
      </c>
      <c r="E98" s="674">
        <f>11*7*12+396</f>
        <v>1320</v>
      </c>
      <c r="F98" s="674"/>
      <c r="G98" s="674">
        <f aca="true" t="shared" si="37" ref="G98:G118">E98+F98</f>
        <v>1320</v>
      </c>
      <c r="H98" s="674"/>
      <c r="I98" s="674"/>
      <c r="J98" s="674"/>
      <c r="K98" s="674">
        <v>1000</v>
      </c>
      <c r="L98" s="674">
        <f aca="true" t="shared" si="38" ref="L98:L118">SUM(H98:K98)</f>
        <v>1000</v>
      </c>
      <c r="M98" s="674">
        <f aca="true" t="shared" si="39" ref="M98:M118">G98+L98</f>
        <v>2320</v>
      </c>
      <c r="N98" s="674">
        <v>72.9</v>
      </c>
      <c r="O98" s="674">
        <v>48.6</v>
      </c>
      <c r="P98" s="674">
        <v>638.69</v>
      </c>
      <c r="Q98" s="674">
        <v>24.3</v>
      </c>
      <c r="R98" s="674">
        <v>490.46</v>
      </c>
      <c r="S98" s="674">
        <v>779.76</v>
      </c>
      <c r="T98" s="674"/>
      <c r="U98" s="674"/>
      <c r="V98" s="674"/>
      <c r="W98" s="674"/>
      <c r="X98" s="674"/>
      <c r="Y98" s="674"/>
      <c r="Z98" s="674">
        <f aca="true" t="shared" si="40" ref="Z98:Z118">SUM(N98:Y98)</f>
        <v>2054.71</v>
      </c>
      <c r="AA98" s="705">
        <f t="shared" si="14"/>
        <v>0.8856508620689655</v>
      </c>
      <c r="AB98" s="886" t="s">
        <v>433</v>
      </c>
    </row>
    <row r="99" spans="1:28" s="702" customFormat="1" ht="14.25" customHeight="1">
      <c r="A99" s="704"/>
      <c r="B99" s="704"/>
      <c r="C99" s="704">
        <v>4010</v>
      </c>
      <c r="D99" s="202" t="s">
        <v>631</v>
      </c>
      <c r="E99" s="684">
        <v>306500</v>
      </c>
      <c r="F99" s="684">
        <v>25000</v>
      </c>
      <c r="G99" s="674">
        <f t="shared" si="37"/>
        <v>331500</v>
      </c>
      <c r="H99" s="674"/>
      <c r="I99" s="674"/>
      <c r="J99" s="674"/>
      <c r="K99" s="674">
        <v>15000</v>
      </c>
      <c r="L99" s="674">
        <f t="shared" si="38"/>
        <v>15000</v>
      </c>
      <c r="M99" s="674">
        <f t="shared" si="39"/>
        <v>346500</v>
      </c>
      <c r="N99" s="674">
        <v>38430.54</v>
      </c>
      <c r="O99" s="674">
        <v>23536.81</v>
      </c>
      <c r="P99" s="674">
        <v>26867.22</v>
      </c>
      <c r="Q99" s="674">
        <v>25302.81</v>
      </c>
      <c r="R99" s="674">
        <v>31190.42</v>
      </c>
      <c r="S99" s="674">
        <v>33638.23</v>
      </c>
      <c r="T99" s="674"/>
      <c r="U99" s="674"/>
      <c r="V99" s="674"/>
      <c r="W99" s="674"/>
      <c r="X99" s="674"/>
      <c r="Y99" s="674"/>
      <c r="Z99" s="684">
        <f t="shared" si="40"/>
        <v>178966.03</v>
      </c>
      <c r="AA99" s="705">
        <f t="shared" si="14"/>
        <v>0.5164964790764791</v>
      </c>
      <c r="AB99" s="887"/>
    </row>
    <row r="100" spans="1:28" s="702" customFormat="1" ht="14.25" customHeight="1">
      <c r="A100" s="704"/>
      <c r="B100" s="704"/>
      <c r="C100" s="704">
        <v>4040</v>
      </c>
      <c r="D100" s="202" t="s">
        <v>638</v>
      </c>
      <c r="E100" s="684">
        <v>18050</v>
      </c>
      <c r="F100" s="684">
        <f>19880-E100-5</f>
        <v>1825</v>
      </c>
      <c r="G100" s="674">
        <f t="shared" si="37"/>
        <v>19875</v>
      </c>
      <c r="H100" s="674"/>
      <c r="I100" s="674">
        <v>2425</v>
      </c>
      <c r="J100" s="674"/>
      <c r="K100" s="674"/>
      <c r="L100" s="674">
        <f t="shared" si="38"/>
        <v>2425</v>
      </c>
      <c r="M100" s="674">
        <f t="shared" si="39"/>
        <v>22300</v>
      </c>
      <c r="N100" s="674"/>
      <c r="O100" s="674"/>
      <c r="P100" s="674"/>
      <c r="Q100" s="674"/>
      <c r="R100" s="674"/>
      <c r="S100" s="674">
        <f>R100</f>
        <v>0</v>
      </c>
      <c r="T100" s="674"/>
      <c r="U100" s="674"/>
      <c r="V100" s="674"/>
      <c r="W100" s="674"/>
      <c r="X100" s="674"/>
      <c r="Y100" s="674"/>
      <c r="Z100" s="684">
        <f t="shared" si="40"/>
        <v>0</v>
      </c>
      <c r="AA100" s="705">
        <f t="shared" si="14"/>
        <v>0</v>
      </c>
      <c r="AB100" s="887"/>
    </row>
    <row r="101" spans="1:28" s="702" customFormat="1" ht="14.25" customHeight="1">
      <c r="A101" s="704"/>
      <c r="B101" s="704"/>
      <c r="C101" s="704">
        <v>4110</v>
      </c>
      <c r="D101" s="202" t="s">
        <v>439</v>
      </c>
      <c r="E101" s="684">
        <v>56350</v>
      </c>
      <c r="F101" s="684">
        <v>-1700</v>
      </c>
      <c r="G101" s="674">
        <f t="shared" si="37"/>
        <v>54650</v>
      </c>
      <c r="H101" s="674"/>
      <c r="I101" s="674"/>
      <c r="J101" s="674"/>
      <c r="K101" s="674"/>
      <c r="L101" s="674">
        <f t="shared" si="38"/>
        <v>0</v>
      </c>
      <c r="M101" s="674">
        <f t="shared" si="39"/>
        <v>54650</v>
      </c>
      <c r="N101" s="674">
        <v>3474.1</v>
      </c>
      <c r="O101" s="674">
        <v>3626.34</v>
      </c>
      <c r="P101" s="674">
        <v>4133.68</v>
      </c>
      <c r="Q101" s="674">
        <v>3942.19</v>
      </c>
      <c r="R101" s="674">
        <v>4859.51</v>
      </c>
      <c r="S101" s="674">
        <v>5211.07</v>
      </c>
      <c r="T101" s="674"/>
      <c r="U101" s="674"/>
      <c r="V101" s="674"/>
      <c r="W101" s="674"/>
      <c r="X101" s="674"/>
      <c r="Y101" s="674"/>
      <c r="Z101" s="684">
        <f t="shared" si="40"/>
        <v>25246.89</v>
      </c>
      <c r="AA101" s="705">
        <f t="shared" si="14"/>
        <v>0.4619741994510521</v>
      </c>
      <c r="AB101" s="887"/>
    </row>
    <row r="102" spans="1:28" s="702" customFormat="1" ht="14.25" customHeight="1">
      <c r="A102" s="704"/>
      <c r="B102" s="704"/>
      <c r="C102" s="704">
        <v>4120</v>
      </c>
      <c r="D102" s="202" t="s">
        <v>639</v>
      </c>
      <c r="E102" s="684">
        <f>(E99+E100-2281-1859)*2.45%-0.05</f>
        <v>7849.995</v>
      </c>
      <c r="F102" s="684">
        <v>700</v>
      </c>
      <c r="G102" s="674">
        <f t="shared" si="37"/>
        <v>8549.994999999999</v>
      </c>
      <c r="H102" s="674"/>
      <c r="I102" s="674"/>
      <c r="J102" s="674"/>
      <c r="K102" s="674"/>
      <c r="L102" s="674">
        <f t="shared" si="38"/>
        <v>0</v>
      </c>
      <c r="M102" s="674">
        <f t="shared" si="39"/>
        <v>8549.994999999999</v>
      </c>
      <c r="N102" s="674">
        <v>546.31</v>
      </c>
      <c r="O102" s="674">
        <v>570.25</v>
      </c>
      <c r="P102" s="674">
        <v>650.03</v>
      </c>
      <c r="Q102" s="674">
        <v>619.92</v>
      </c>
      <c r="R102" s="674">
        <v>764.17</v>
      </c>
      <c r="S102" s="674">
        <v>819.45</v>
      </c>
      <c r="T102" s="674"/>
      <c r="U102" s="674"/>
      <c r="V102" s="674"/>
      <c r="W102" s="674"/>
      <c r="X102" s="674"/>
      <c r="Y102" s="674"/>
      <c r="Z102" s="684">
        <f t="shared" si="40"/>
        <v>3970.13</v>
      </c>
      <c r="AA102" s="705">
        <f aca="true" t="shared" si="41" ref="AA102:AA118">Z102/M102</f>
        <v>0.4643429616040712</v>
      </c>
      <c r="AB102" s="888"/>
    </row>
    <row r="103" spans="1:28" s="702" customFormat="1" ht="84">
      <c r="A103" s="704"/>
      <c r="B103" s="704"/>
      <c r="C103" s="704">
        <v>4170</v>
      </c>
      <c r="D103" s="202" t="s">
        <v>640</v>
      </c>
      <c r="E103" s="674">
        <v>6000</v>
      </c>
      <c r="F103" s="674"/>
      <c r="G103" s="674">
        <f t="shared" si="37"/>
        <v>6000</v>
      </c>
      <c r="H103" s="674">
        <v>1000</v>
      </c>
      <c r="I103" s="674"/>
      <c r="J103" s="674"/>
      <c r="K103" s="674">
        <v>20000</v>
      </c>
      <c r="L103" s="674">
        <f t="shared" si="38"/>
        <v>21000</v>
      </c>
      <c r="M103" s="674">
        <f t="shared" si="39"/>
        <v>27000</v>
      </c>
      <c r="N103" s="674">
        <v>1480</v>
      </c>
      <c r="O103" s="674">
        <v>736</v>
      </c>
      <c r="P103" s="674">
        <v>500</v>
      </c>
      <c r="Q103" s="674">
        <v>3089</v>
      </c>
      <c r="R103" s="674">
        <v>2894.82</v>
      </c>
      <c r="S103" s="674">
        <v>3408.25</v>
      </c>
      <c r="T103" s="674"/>
      <c r="U103" s="674"/>
      <c r="V103" s="674"/>
      <c r="W103" s="674"/>
      <c r="X103" s="674"/>
      <c r="Y103" s="674"/>
      <c r="Z103" s="674">
        <f t="shared" si="40"/>
        <v>12108.07</v>
      </c>
      <c r="AA103" s="705">
        <f t="shared" si="41"/>
        <v>0.44844703703703703</v>
      </c>
      <c r="AB103" s="710" t="s">
        <v>931</v>
      </c>
    </row>
    <row r="104" spans="1:28" s="702" customFormat="1" ht="23.25" customHeight="1">
      <c r="A104" s="704"/>
      <c r="B104" s="704"/>
      <c r="C104" s="704">
        <v>4210</v>
      </c>
      <c r="D104" s="202" t="s">
        <v>998</v>
      </c>
      <c r="E104" s="674">
        <v>120000</v>
      </c>
      <c r="F104" s="674">
        <v>-17310</v>
      </c>
      <c r="G104" s="674">
        <f t="shared" si="37"/>
        <v>102690</v>
      </c>
      <c r="H104" s="674">
        <v>-8500</v>
      </c>
      <c r="I104" s="674"/>
      <c r="J104" s="674"/>
      <c r="K104" s="674">
        <v>72000</v>
      </c>
      <c r="L104" s="674">
        <f t="shared" si="38"/>
        <v>63500</v>
      </c>
      <c r="M104" s="674">
        <f t="shared" si="39"/>
        <v>166190</v>
      </c>
      <c r="N104" s="674">
        <v>11886.93</v>
      </c>
      <c r="O104" s="674">
        <v>25140.44</v>
      </c>
      <c r="P104" s="674">
        <v>12841.68</v>
      </c>
      <c r="Q104" s="674">
        <f>23308.56+314</f>
        <v>23622.56</v>
      </c>
      <c r="R104" s="674">
        <v>16533.66</v>
      </c>
      <c r="S104" s="674">
        <v>51794.35</v>
      </c>
      <c r="T104" s="674"/>
      <c r="U104" s="674"/>
      <c r="V104" s="674"/>
      <c r="W104" s="674"/>
      <c r="X104" s="674"/>
      <c r="Y104" s="674"/>
      <c r="Z104" s="674">
        <f t="shared" si="40"/>
        <v>141819.62</v>
      </c>
      <c r="AA104" s="705">
        <f t="shared" si="41"/>
        <v>0.8533583248089536</v>
      </c>
      <c r="AB104" s="883" t="s">
        <v>932</v>
      </c>
    </row>
    <row r="105" spans="1:28" s="702" customFormat="1" ht="23.25" customHeight="1">
      <c r="A105" s="704"/>
      <c r="B105" s="704"/>
      <c r="C105" s="704">
        <v>4270</v>
      </c>
      <c r="D105" s="202" t="s">
        <v>618</v>
      </c>
      <c r="E105" s="674">
        <v>23000</v>
      </c>
      <c r="F105" s="674">
        <v>-3000</v>
      </c>
      <c r="G105" s="674">
        <f t="shared" si="37"/>
        <v>20000</v>
      </c>
      <c r="H105" s="674"/>
      <c r="I105" s="674"/>
      <c r="J105" s="674"/>
      <c r="K105" s="674">
        <v>22862</v>
      </c>
      <c r="L105" s="674">
        <f t="shared" si="38"/>
        <v>22862</v>
      </c>
      <c r="M105" s="674">
        <f t="shared" si="39"/>
        <v>42862</v>
      </c>
      <c r="N105" s="674"/>
      <c r="O105" s="674">
        <v>1092</v>
      </c>
      <c r="P105" s="674">
        <v>7970</v>
      </c>
      <c r="Q105" s="674">
        <v>448.5</v>
      </c>
      <c r="R105" s="674">
        <v>380</v>
      </c>
      <c r="S105" s="674">
        <v>2499.62</v>
      </c>
      <c r="T105" s="674"/>
      <c r="U105" s="674"/>
      <c r="V105" s="674"/>
      <c r="W105" s="674"/>
      <c r="X105" s="674"/>
      <c r="Y105" s="674"/>
      <c r="Z105" s="674">
        <f t="shared" si="40"/>
        <v>12390.119999999999</v>
      </c>
      <c r="AA105" s="705">
        <f t="shared" si="41"/>
        <v>0.28907003872894405</v>
      </c>
      <c r="AB105" s="884"/>
    </row>
    <row r="106" spans="1:241" s="697" customFormat="1" ht="23.25" customHeight="1">
      <c r="A106" s="707"/>
      <c r="B106" s="707"/>
      <c r="C106" s="707">
        <v>4280</v>
      </c>
      <c r="D106" s="708" t="s">
        <v>641</v>
      </c>
      <c r="E106" s="709">
        <v>3000</v>
      </c>
      <c r="F106" s="709"/>
      <c r="G106" s="674">
        <f t="shared" si="37"/>
        <v>3000</v>
      </c>
      <c r="H106" s="709"/>
      <c r="I106" s="709"/>
      <c r="J106" s="709"/>
      <c r="K106" s="709"/>
      <c r="L106" s="674">
        <f t="shared" si="38"/>
        <v>0</v>
      </c>
      <c r="M106" s="674">
        <f t="shared" si="39"/>
        <v>3000</v>
      </c>
      <c r="N106" s="674"/>
      <c r="O106" s="674">
        <v>166</v>
      </c>
      <c r="P106" s="674">
        <v>70</v>
      </c>
      <c r="Q106" s="674">
        <v>158</v>
      </c>
      <c r="R106" s="674"/>
      <c r="S106" s="674">
        <v>9</v>
      </c>
      <c r="T106" s="674"/>
      <c r="U106" s="674"/>
      <c r="V106" s="674"/>
      <c r="W106" s="674"/>
      <c r="X106" s="674"/>
      <c r="Y106" s="674"/>
      <c r="Z106" s="674">
        <f t="shared" si="40"/>
        <v>403</v>
      </c>
      <c r="AA106" s="705">
        <f t="shared" si="41"/>
        <v>0.13433333333333333</v>
      </c>
      <c r="AB106" s="884"/>
      <c r="AC106" s="702"/>
      <c r="AD106" s="702"/>
      <c r="AE106" s="702"/>
      <c r="AF106" s="702"/>
      <c r="AG106" s="702"/>
      <c r="AH106" s="702"/>
      <c r="AI106" s="702"/>
      <c r="AJ106" s="702"/>
      <c r="AK106" s="702"/>
      <c r="AL106" s="702"/>
      <c r="AM106" s="702"/>
      <c r="AN106" s="702"/>
      <c r="AO106" s="702"/>
      <c r="AP106" s="702"/>
      <c r="AQ106" s="702"/>
      <c r="AR106" s="702"/>
      <c r="AS106" s="702"/>
      <c r="AT106" s="702"/>
      <c r="AU106" s="702"/>
      <c r="AV106" s="702"/>
      <c r="AW106" s="702"/>
      <c r="AX106" s="702"/>
      <c r="AY106" s="702"/>
      <c r="AZ106" s="702"/>
      <c r="BA106" s="702"/>
      <c r="BB106" s="702"/>
      <c r="BC106" s="702"/>
      <c r="BD106" s="702"/>
      <c r="BE106" s="702"/>
      <c r="BF106" s="702"/>
      <c r="BG106" s="702"/>
      <c r="BH106" s="702"/>
      <c r="BI106" s="702"/>
      <c r="BJ106" s="702"/>
      <c r="BK106" s="702"/>
      <c r="BL106" s="702"/>
      <c r="BM106" s="702"/>
      <c r="BN106" s="702"/>
      <c r="BO106" s="702"/>
      <c r="BP106" s="702"/>
      <c r="BQ106" s="702"/>
      <c r="BR106" s="702"/>
      <c r="BS106" s="702"/>
      <c r="BT106" s="702"/>
      <c r="BU106" s="702"/>
      <c r="BV106" s="702"/>
      <c r="BW106" s="702"/>
      <c r="BX106" s="702"/>
      <c r="BY106" s="702"/>
      <c r="BZ106" s="702"/>
      <c r="CA106" s="702"/>
      <c r="CB106" s="702"/>
      <c r="CC106" s="702"/>
      <c r="CD106" s="702"/>
      <c r="CE106" s="702"/>
      <c r="CF106" s="702"/>
      <c r="CG106" s="702"/>
      <c r="CH106" s="702"/>
      <c r="CI106" s="702"/>
      <c r="CJ106" s="702"/>
      <c r="CK106" s="702"/>
      <c r="CL106" s="702"/>
      <c r="CM106" s="702"/>
      <c r="CN106" s="702"/>
      <c r="CO106" s="702"/>
      <c r="CP106" s="702"/>
      <c r="CQ106" s="702"/>
      <c r="CR106" s="702"/>
      <c r="CS106" s="702"/>
      <c r="CT106" s="702"/>
      <c r="CU106" s="702"/>
      <c r="CV106" s="702"/>
      <c r="CW106" s="702"/>
      <c r="CX106" s="702"/>
      <c r="CY106" s="702"/>
      <c r="CZ106" s="702"/>
      <c r="DA106" s="702"/>
      <c r="DB106" s="702"/>
      <c r="DC106" s="702"/>
      <c r="DD106" s="702"/>
      <c r="DE106" s="702"/>
      <c r="DF106" s="702"/>
      <c r="DG106" s="702"/>
      <c r="DH106" s="702"/>
      <c r="DI106" s="702"/>
      <c r="DJ106" s="702"/>
      <c r="DK106" s="702"/>
      <c r="DL106" s="702"/>
      <c r="DM106" s="702"/>
      <c r="DN106" s="702"/>
      <c r="DO106" s="702"/>
      <c r="DP106" s="702"/>
      <c r="DQ106" s="702"/>
      <c r="DR106" s="702"/>
      <c r="DS106" s="702"/>
      <c r="DT106" s="702"/>
      <c r="DU106" s="702"/>
      <c r="DV106" s="702"/>
      <c r="DW106" s="702"/>
      <c r="DX106" s="702"/>
      <c r="DY106" s="702"/>
      <c r="DZ106" s="702"/>
      <c r="EA106" s="702"/>
      <c r="EB106" s="702"/>
      <c r="EC106" s="702"/>
      <c r="ED106" s="702"/>
      <c r="EE106" s="702"/>
      <c r="EF106" s="702"/>
      <c r="EG106" s="702"/>
      <c r="EH106" s="702"/>
      <c r="EI106" s="702"/>
      <c r="EJ106" s="702"/>
      <c r="EK106" s="702"/>
      <c r="EL106" s="702"/>
      <c r="EM106" s="702"/>
      <c r="EN106" s="702"/>
      <c r="EO106" s="702"/>
      <c r="EP106" s="702"/>
      <c r="EQ106" s="702"/>
      <c r="ER106" s="702"/>
      <c r="ES106" s="702"/>
      <c r="ET106" s="702"/>
      <c r="EU106" s="702"/>
      <c r="EV106" s="702"/>
      <c r="EW106" s="702"/>
      <c r="EX106" s="702"/>
      <c r="EY106" s="702"/>
      <c r="EZ106" s="702"/>
      <c r="FA106" s="702"/>
      <c r="FB106" s="702"/>
      <c r="FC106" s="702"/>
      <c r="FD106" s="702"/>
      <c r="FE106" s="702"/>
      <c r="FF106" s="702"/>
      <c r="FG106" s="702"/>
      <c r="FH106" s="702"/>
      <c r="FI106" s="702"/>
      <c r="FJ106" s="702"/>
      <c r="FK106" s="702"/>
      <c r="FL106" s="702"/>
      <c r="FM106" s="702"/>
      <c r="FN106" s="702"/>
      <c r="FO106" s="702"/>
      <c r="FP106" s="702"/>
      <c r="FQ106" s="702"/>
      <c r="FR106" s="702"/>
      <c r="FS106" s="702"/>
      <c r="FT106" s="702"/>
      <c r="FU106" s="702"/>
      <c r="FV106" s="702"/>
      <c r="FW106" s="702"/>
      <c r="FX106" s="702"/>
      <c r="FY106" s="702"/>
      <c r="FZ106" s="702"/>
      <c r="GA106" s="702"/>
      <c r="GB106" s="702"/>
      <c r="GC106" s="702"/>
      <c r="GD106" s="702"/>
      <c r="GE106" s="702"/>
      <c r="GF106" s="702"/>
      <c r="GG106" s="702"/>
      <c r="GH106" s="702"/>
      <c r="GI106" s="702"/>
      <c r="GJ106" s="702"/>
      <c r="GK106" s="702"/>
      <c r="GL106" s="702"/>
      <c r="GM106" s="702"/>
      <c r="GN106" s="702"/>
      <c r="GO106" s="702"/>
      <c r="GP106" s="702"/>
      <c r="GQ106" s="702"/>
      <c r="GR106" s="702"/>
      <c r="GS106" s="702"/>
      <c r="GT106" s="702"/>
      <c r="GU106" s="702"/>
      <c r="GV106" s="702"/>
      <c r="GW106" s="702"/>
      <c r="GX106" s="702"/>
      <c r="GY106" s="702"/>
      <c r="GZ106" s="702"/>
      <c r="HA106" s="702"/>
      <c r="HB106" s="702"/>
      <c r="HC106" s="702"/>
      <c r="HD106" s="702"/>
      <c r="HE106" s="702"/>
      <c r="HF106" s="702"/>
      <c r="HG106" s="702"/>
      <c r="HH106" s="702"/>
      <c r="HI106" s="702"/>
      <c r="HJ106" s="702"/>
      <c r="HK106" s="702"/>
      <c r="HL106" s="702"/>
      <c r="HM106" s="702"/>
      <c r="HN106" s="702"/>
      <c r="HO106" s="702"/>
      <c r="HP106" s="702"/>
      <c r="HQ106" s="702"/>
      <c r="HR106" s="702"/>
      <c r="HS106" s="702"/>
      <c r="HT106" s="702"/>
      <c r="HU106" s="702"/>
      <c r="HV106" s="702"/>
      <c r="HW106" s="702"/>
      <c r="HX106" s="702"/>
      <c r="HY106" s="702"/>
      <c r="HZ106" s="702"/>
      <c r="IA106" s="702"/>
      <c r="IB106" s="702"/>
      <c r="IC106" s="702"/>
      <c r="ID106" s="702"/>
      <c r="IE106" s="702"/>
      <c r="IF106" s="702"/>
      <c r="IG106" s="702"/>
    </row>
    <row r="107" spans="1:28" s="702" customFormat="1" ht="23.25" customHeight="1">
      <c r="A107" s="704"/>
      <c r="B107" s="704"/>
      <c r="C107" s="704">
        <v>4300</v>
      </c>
      <c r="D107" s="202" t="s">
        <v>1000</v>
      </c>
      <c r="E107" s="674">
        <v>30000</v>
      </c>
      <c r="F107" s="674">
        <v>-5000</v>
      </c>
      <c r="G107" s="674">
        <f t="shared" si="37"/>
        <v>25000</v>
      </c>
      <c r="H107" s="674">
        <v>-1000</v>
      </c>
      <c r="I107" s="674"/>
      <c r="J107" s="674"/>
      <c r="K107" s="674">
        <v>52000</v>
      </c>
      <c r="L107" s="674">
        <f t="shared" si="38"/>
        <v>51000</v>
      </c>
      <c r="M107" s="674">
        <f t="shared" si="39"/>
        <v>76000</v>
      </c>
      <c r="N107" s="674">
        <v>2460.23</v>
      </c>
      <c r="O107" s="674">
        <v>3720.76</v>
      </c>
      <c r="P107" s="674">
        <f>2413.94+960</f>
        <v>3373.94</v>
      </c>
      <c r="Q107" s="674">
        <v>3082.72</v>
      </c>
      <c r="R107" s="674">
        <v>4867.15</v>
      </c>
      <c r="S107" s="674">
        <v>49191.11</v>
      </c>
      <c r="T107" s="674"/>
      <c r="U107" s="674"/>
      <c r="V107" s="674"/>
      <c r="W107" s="674"/>
      <c r="X107" s="674"/>
      <c r="Y107" s="674"/>
      <c r="Z107" s="674">
        <f t="shared" si="40"/>
        <v>66695.91</v>
      </c>
      <c r="AA107" s="705">
        <f t="shared" si="41"/>
        <v>0.8775777631578948</v>
      </c>
      <c r="AB107" s="885"/>
    </row>
    <row r="108" spans="1:28" s="702" customFormat="1" ht="14.25" customHeight="1">
      <c r="A108" s="704"/>
      <c r="B108" s="704"/>
      <c r="C108" s="704">
        <v>4350</v>
      </c>
      <c r="D108" s="202" t="s">
        <v>708</v>
      </c>
      <c r="E108" s="674">
        <v>2750</v>
      </c>
      <c r="F108" s="674"/>
      <c r="G108" s="674">
        <f t="shared" si="37"/>
        <v>2750</v>
      </c>
      <c r="H108" s="674"/>
      <c r="I108" s="674"/>
      <c r="J108" s="674">
        <v>300</v>
      </c>
      <c r="K108" s="674"/>
      <c r="L108" s="674">
        <f t="shared" si="38"/>
        <v>300</v>
      </c>
      <c r="M108" s="674">
        <f t="shared" si="39"/>
        <v>3050</v>
      </c>
      <c r="N108" s="674">
        <v>278.34</v>
      </c>
      <c r="O108" s="674">
        <v>221.36</v>
      </c>
      <c r="P108" s="674">
        <v>327.24</v>
      </c>
      <c r="Q108" s="674">
        <v>279.72</v>
      </c>
      <c r="R108" s="674">
        <v>171.8</v>
      </c>
      <c r="S108" s="674">
        <v>248</v>
      </c>
      <c r="T108" s="674"/>
      <c r="U108" s="674"/>
      <c r="V108" s="674"/>
      <c r="W108" s="674"/>
      <c r="X108" s="674"/>
      <c r="Y108" s="674"/>
      <c r="Z108" s="674">
        <f t="shared" si="40"/>
        <v>1526.46</v>
      </c>
      <c r="AA108" s="705">
        <f t="shared" si="41"/>
        <v>0.5004786885245902</v>
      </c>
      <c r="AB108" s="728" t="s">
        <v>933</v>
      </c>
    </row>
    <row r="109" spans="1:28" s="702" customFormat="1" ht="24">
      <c r="A109" s="704"/>
      <c r="B109" s="704"/>
      <c r="C109" s="704">
        <v>4360</v>
      </c>
      <c r="D109" s="202" t="s">
        <v>709</v>
      </c>
      <c r="E109" s="674">
        <v>9500</v>
      </c>
      <c r="F109" s="674"/>
      <c r="G109" s="674">
        <f t="shared" si="37"/>
        <v>9500</v>
      </c>
      <c r="H109" s="674"/>
      <c r="I109" s="674"/>
      <c r="J109" s="674">
        <v>-811</v>
      </c>
      <c r="K109" s="674"/>
      <c r="L109" s="674">
        <f t="shared" si="38"/>
        <v>-811</v>
      </c>
      <c r="M109" s="674">
        <f t="shared" si="39"/>
        <v>8689</v>
      </c>
      <c r="N109" s="674">
        <v>630.33</v>
      </c>
      <c r="O109" s="674">
        <v>639</v>
      </c>
      <c r="P109" s="674">
        <v>578.73</v>
      </c>
      <c r="Q109" s="674">
        <v>769.71</v>
      </c>
      <c r="R109" s="674">
        <v>650.82</v>
      </c>
      <c r="S109" s="674">
        <v>511.72</v>
      </c>
      <c r="T109" s="674"/>
      <c r="U109" s="674"/>
      <c r="V109" s="674"/>
      <c r="W109" s="674"/>
      <c r="X109" s="674"/>
      <c r="Y109" s="674"/>
      <c r="Z109" s="674">
        <f t="shared" si="40"/>
        <v>3780.3100000000004</v>
      </c>
      <c r="AA109" s="712">
        <f t="shared" si="41"/>
        <v>0.4350684773851997</v>
      </c>
      <c r="AB109" s="726" t="s">
        <v>710</v>
      </c>
    </row>
    <row r="110" spans="1:28" s="702" customFormat="1" ht="14.25" customHeight="1">
      <c r="A110" s="704"/>
      <c r="B110" s="704"/>
      <c r="C110" s="704">
        <v>4370</v>
      </c>
      <c r="D110" s="202" t="s">
        <v>711</v>
      </c>
      <c r="E110" s="674">
        <v>2500</v>
      </c>
      <c r="F110" s="674"/>
      <c r="G110" s="674">
        <f t="shared" si="37"/>
        <v>2500</v>
      </c>
      <c r="H110" s="674"/>
      <c r="I110" s="674"/>
      <c r="J110" s="674"/>
      <c r="K110" s="674"/>
      <c r="L110" s="674">
        <f t="shared" si="38"/>
        <v>0</v>
      </c>
      <c r="M110" s="674">
        <f t="shared" si="39"/>
        <v>2500</v>
      </c>
      <c r="N110" s="674">
        <v>153.88</v>
      </c>
      <c r="O110" s="674">
        <v>177.58</v>
      </c>
      <c r="P110" s="674">
        <v>145.5</v>
      </c>
      <c r="Q110" s="674">
        <v>162.61</v>
      </c>
      <c r="R110" s="674">
        <v>242.57</v>
      </c>
      <c r="S110" s="674">
        <v>176.39</v>
      </c>
      <c r="T110" s="674"/>
      <c r="U110" s="674"/>
      <c r="V110" s="674"/>
      <c r="W110" s="674"/>
      <c r="X110" s="674"/>
      <c r="Y110" s="674"/>
      <c r="Z110" s="674">
        <f t="shared" si="40"/>
        <v>1058.5300000000002</v>
      </c>
      <c r="AA110" s="712">
        <f t="shared" si="41"/>
        <v>0.42341200000000007</v>
      </c>
      <c r="AB110" s="726" t="s">
        <v>712</v>
      </c>
    </row>
    <row r="111" spans="1:28" s="702" customFormat="1" ht="14.25" customHeight="1">
      <c r="A111" s="704"/>
      <c r="B111" s="704"/>
      <c r="C111" s="704">
        <v>4410</v>
      </c>
      <c r="D111" s="202" t="s">
        <v>635</v>
      </c>
      <c r="E111" s="674">
        <v>4000</v>
      </c>
      <c r="F111" s="674"/>
      <c r="G111" s="674">
        <f t="shared" si="37"/>
        <v>4000</v>
      </c>
      <c r="H111" s="674"/>
      <c r="I111" s="674"/>
      <c r="J111" s="674">
        <v>-1500</v>
      </c>
      <c r="K111" s="674"/>
      <c r="L111" s="674">
        <f t="shared" si="38"/>
        <v>-1500</v>
      </c>
      <c r="M111" s="674">
        <f t="shared" si="39"/>
        <v>2500</v>
      </c>
      <c r="N111" s="674">
        <v>227.95</v>
      </c>
      <c r="O111" s="674"/>
      <c r="P111" s="674"/>
      <c r="Q111" s="674">
        <v>81.51</v>
      </c>
      <c r="R111" s="674">
        <v>299</v>
      </c>
      <c r="S111" s="674">
        <v>161</v>
      </c>
      <c r="T111" s="674"/>
      <c r="U111" s="674"/>
      <c r="V111" s="674"/>
      <c r="W111" s="674"/>
      <c r="X111" s="674"/>
      <c r="Y111" s="674"/>
      <c r="Z111" s="674">
        <f t="shared" si="40"/>
        <v>769.46</v>
      </c>
      <c r="AA111" s="712">
        <f t="shared" si="41"/>
        <v>0.307784</v>
      </c>
      <c r="AB111" s="726" t="s">
        <v>614</v>
      </c>
    </row>
    <row r="112" spans="1:28" s="702" customFormat="1" ht="48">
      <c r="A112" s="261"/>
      <c r="B112" s="261"/>
      <c r="C112" s="704">
        <v>4430</v>
      </c>
      <c r="D112" s="202" t="s">
        <v>1007</v>
      </c>
      <c r="E112" s="674">
        <v>17000</v>
      </c>
      <c r="F112" s="674"/>
      <c r="G112" s="674">
        <f t="shared" si="37"/>
        <v>17000</v>
      </c>
      <c r="H112" s="674"/>
      <c r="I112" s="674"/>
      <c r="J112" s="674"/>
      <c r="K112" s="674">
        <v>-4000</v>
      </c>
      <c r="L112" s="674">
        <f t="shared" si="38"/>
        <v>-4000</v>
      </c>
      <c r="M112" s="674">
        <f t="shared" si="39"/>
        <v>13000</v>
      </c>
      <c r="N112" s="674">
        <v>1376.53</v>
      </c>
      <c r="O112" s="674">
        <v>735.6</v>
      </c>
      <c r="P112" s="674">
        <v>743.73</v>
      </c>
      <c r="Q112" s="674">
        <v>1485.6</v>
      </c>
      <c r="R112" s="674">
        <v>989.85</v>
      </c>
      <c r="S112" s="674">
        <v>1474.53</v>
      </c>
      <c r="T112" s="674"/>
      <c r="U112" s="674"/>
      <c r="V112" s="674"/>
      <c r="W112" s="674"/>
      <c r="X112" s="674"/>
      <c r="Y112" s="674"/>
      <c r="Z112" s="674">
        <f t="shared" si="40"/>
        <v>6805.84</v>
      </c>
      <c r="AA112" s="712">
        <f t="shared" si="41"/>
        <v>0.5235261538461539</v>
      </c>
      <c r="AB112" s="728" t="s">
        <v>934</v>
      </c>
    </row>
    <row r="113" spans="1:28" s="702" customFormat="1" ht="24">
      <c r="A113" s="261"/>
      <c r="B113" s="261"/>
      <c r="C113" s="704">
        <v>4440</v>
      </c>
      <c r="D113" s="202" t="s">
        <v>428</v>
      </c>
      <c r="E113" s="684">
        <v>10770</v>
      </c>
      <c r="F113" s="684">
        <v>-515</v>
      </c>
      <c r="G113" s="674">
        <f t="shared" si="37"/>
        <v>10255</v>
      </c>
      <c r="H113" s="674"/>
      <c r="I113" s="674">
        <v>625</v>
      </c>
      <c r="J113" s="674"/>
      <c r="K113" s="674"/>
      <c r="L113" s="674">
        <f t="shared" si="38"/>
        <v>625</v>
      </c>
      <c r="M113" s="674">
        <f t="shared" si="39"/>
        <v>10880</v>
      </c>
      <c r="N113" s="684">
        <v>849.9</v>
      </c>
      <c r="O113" s="684">
        <v>963.38</v>
      </c>
      <c r="P113" s="684">
        <v>906.64</v>
      </c>
      <c r="Q113" s="684">
        <v>906.64</v>
      </c>
      <c r="R113" s="684">
        <v>906.64</v>
      </c>
      <c r="S113" s="684">
        <f>R113</f>
        <v>906.64</v>
      </c>
      <c r="T113" s="684"/>
      <c r="U113" s="684"/>
      <c r="V113" s="684"/>
      <c r="W113" s="684"/>
      <c r="X113" s="684"/>
      <c r="Y113" s="684"/>
      <c r="Z113" s="684">
        <f t="shared" si="40"/>
        <v>5439.84</v>
      </c>
      <c r="AA113" s="705">
        <f t="shared" si="41"/>
        <v>0.4999852941176471</v>
      </c>
      <c r="AB113" s="729" t="s">
        <v>935</v>
      </c>
    </row>
    <row r="114" spans="1:28" s="702" customFormat="1" ht="14.25" customHeight="1">
      <c r="A114" s="261"/>
      <c r="B114" s="261"/>
      <c r="C114" s="704">
        <v>4530</v>
      </c>
      <c r="D114" s="202" t="s">
        <v>430</v>
      </c>
      <c r="E114" s="674">
        <v>12800</v>
      </c>
      <c r="F114" s="674"/>
      <c r="G114" s="674">
        <f t="shared" si="37"/>
        <v>12800</v>
      </c>
      <c r="H114" s="674">
        <v>5000</v>
      </c>
      <c r="I114" s="674"/>
      <c r="J114" s="674">
        <v>2000</v>
      </c>
      <c r="K114" s="674">
        <v>20000</v>
      </c>
      <c r="L114" s="674">
        <f t="shared" si="38"/>
        <v>27000</v>
      </c>
      <c r="M114" s="674">
        <f t="shared" si="39"/>
        <v>39800</v>
      </c>
      <c r="N114" s="674">
        <v>5981.92</v>
      </c>
      <c r="O114" s="674">
        <v>2475.56</v>
      </c>
      <c r="P114" s="674">
        <v>2075.05</v>
      </c>
      <c r="Q114" s="674">
        <v>2955.46</v>
      </c>
      <c r="R114" s="674">
        <v>2820.39</v>
      </c>
      <c r="S114" s="674">
        <v>8002.05</v>
      </c>
      <c r="T114" s="674"/>
      <c r="U114" s="674"/>
      <c r="V114" s="674"/>
      <c r="W114" s="674"/>
      <c r="X114" s="674"/>
      <c r="Y114" s="674"/>
      <c r="Z114" s="674">
        <f t="shared" si="40"/>
        <v>24310.429999999997</v>
      </c>
      <c r="AA114" s="705">
        <f t="shared" si="41"/>
        <v>0.610814824120603</v>
      </c>
      <c r="AB114" s="711" t="s">
        <v>431</v>
      </c>
    </row>
    <row r="115" spans="1:28" s="702" customFormat="1" ht="15" customHeight="1">
      <c r="A115" s="261"/>
      <c r="B115" s="261"/>
      <c r="C115" s="704">
        <v>4580</v>
      </c>
      <c r="D115" s="202" t="s">
        <v>185</v>
      </c>
      <c r="E115" s="674"/>
      <c r="F115" s="674"/>
      <c r="G115" s="674"/>
      <c r="H115" s="674"/>
      <c r="I115" s="674"/>
      <c r="J115" s="674">
        <v>11</v>
      </c>
      <c r="K115" s="674">
        <v>138</v>
      </c>
      <c r="L115" s="674">
        <f t="shared" si="38"/>
        <v>149</v>
      </c>
      <c r="M115" s="674">
        <f t="shared" si="39"/>
        <v>149</v>
      </c>
      <c r="N115" s="674"/>
      <c r="O115" s="674"/>
      <c r="P115" s="674"/>
      <c r="Q115" s="674"/>
      <c r="R115" s="674">
        <v>10.69</v>
      </c>
      <c r="S115" s="674">
        <v>138</v>
      </c>
      <c r="T115" s="674"/>
      <c r="U115" s="674"/>
      <c r="V115" s="674"/>
      <c r="W115" s="674"/>
      <c r="X115" s="674"/>
      <c r="Y115" s="674"/>
      <c r="Z115" s="674">
        <f>SUM(N115:Y115)</f>
        <v>148.69</v>
      </c>
      <c r="AA115" s="705">
        <f t="shared" si="41"/>
        <v>0.9979194630872483</v>
      </c>
      <c r="AB115" s="711" t="s">
        <v>936</v>
      </c>
    </row>
    <row r="116" spans="1:28" s="730" customFormat="1" ht="36">
      <c r="A116" s="261"/>
      <c r="B116" s="261"/>
      <c r="C116" s="704">
        <v>4740</v>
      </c>
      <c r="D116" s="202" t="s">
        <v>616</v>
      </c>
      <c r="E116" s="674">
        <v>2500</v>
      </c>
      <c r="F116" s="674"/>
      <c r="G116" s="674">
        <f t="shared" si="37"/>
        <v>2500</v>
      </c>
      <c r="H116" s="674"/>
      <c r="I116" s="674"/>
      <c r="J116" s="674"/>
      <c r="K116" s="674"/>
      <c r="L116" s="674">
        <f t="shared" si="38"/>
        <v>0</v>
      </c>
      <c r="M116" s="674">
        <f t="shared" si="39"/>
        <v>2500</v>
      </c>
      <c r="N116" s="674">
        <v>248.22</v>
      </c>
      <c r="O116" s="674">
        <v>55.92</v>
      </c>
      <c r="P116" s="674">
        <v>477.66</v>
      </c>
      <c r="Q116" s="674">
        <v>224.84</v>
      </c>
      <c r="R116" s="674">
        <v>112.42</v>
      </c>
      <c r="S116" s="674">
        <v>332.45</v>
      </c>
      <c r="T116" s="674"/>
      <c r="U116" s="674"/>
      <c r="V116" s="674"/>
      <c r="W116" s="674"/>
      <c r="X116" s="674"/>
      <c r="Y116" s="674"/>
      <c r="Z116" s="674">
        <f t="shared" si="40"/>
        <v>1451.51</v>
      </c>
      <c r="AA116" s="712">
        <f t="shared" si="41"/>
        <v>0.580604</v>
      </c>
      <c r="AB116" s="726" t="s">
        <v>713</v>
      </c>
    </row>
    <row r="117" spans="1:28" s="730" customFormat="1" ht="24">
      <c r="A117" s="261"/>
      <c r="B117" s="261"/>
      <c r="C117" s="704">
        <v>4750</v>
      </c>
      <c r="D117" s="202" t="s">
        <v>617</v>
      </c>
      <c r="E117" s="674">
        <v>4000</v>
      </c>
      <c r="F117" s="674"/>
      <c r="G117" s="674">
        <f t="shared" si="37"/>
        <v>4000</v>
      </c>
      <c r="H117" s="674"/>
      <c r="I117" s="674"/>
      <c r="J117" s="674"/>
      <c r="K117" s="674">
        <v>1000</v>
      </c>
      <c r="L117" s="674">
        <f t="shared" si="38"/>
        <v>1000</v>
      </c>
      <c r="M117" s="674">
        <f t="shared" si="39"/>
        <v>5000</v>
      </c>
      <c r="N117" s="674"/>
      <c r="O117" s="674"/>
      <c r="P117" s="674"/>
      <c r="Q117" s="674">
        <v>162.58</v>
      </c>
      <c r="R117" s="674">
        <v>1921.48</v>
      </c>
      <c r="S117" s="674">
        <v>646.95</v>
      </c>
      <c r="T117" s="674"/>
      <c r="U117" s="674"/>
      <c r="V117" s="674"/>
      <c r="W117" s="674"/>
      <c r="X117" s="674"/>
      <c r="Y117" s="674"/>
      <c r="Z117" s="674">
        <f t="shared" si="40"/>
        <v>2731.01</v>
      </c>
      <c r="AA117" s="712">
        <f t="shared" si="41"/>
        <v>0.5462020000000001</v>
      </c>
      <c r="AB117" s="711" t="s">
        <v>937</v>
      </c>
    </row>
    <row r="118" spans="1:28" s="730" customFormat="1" ht="24">
      <c r="A118" s="261"/>
      <c r="B118" s="261"/>
      <c r="C118" s="704">
        <v>6080</v>
      </c>
      <c r="D118" s="202" t="s">
        <v>432</v>
      </c>
      <c r="E118" s="674">
        <v>0</v>
      </c>
      <c r="F118" s="674"/>
      <c r="G118" s="674">
        <f t="shared" si="37"/>
        <v>0</v>
      </c>
      <c r="H118" s="674">
        <v>3500</v>
      </c>
      <c r="I118" s="674"/>
      <c r="J118" s="674"/>
      <c r="K118" s="674"/>
      <c r="L118" s="674">
        <f t="shared" si="38"/>
        <v>3500</v>
      </c>
      <c r="M118" s="674">
        <f t="shared" si="39"/>
        <v>3500</v>
      </c>
      <c r="N118" s="674">
        <f>1627+590</f>
        <v>2217</v>
      </c>
      <c r="O118" s="674">
        <v>179.71</v>
      </c>
      <c r="P118" s="674"/>
      <c r="Q118" s="674">
        <v>592</v>
      </c>
      <c r="R118" s="674"/>
      <c r="S118" s="674"/>
      <c r="T118" s="674"/>
      <c r="U118" s="674"/>
      <c r="V118" s="674"/>
      <c r="W118" s="674"/>
      <c r="X118" s="674"/>
      <c r="Y118" s="674"/>
      <c r="Z118" s="674">
        <f t="shared" si="40"/>
        <v>2988.71</v>
      </c>
      <c r="AA118" s="705">
        <f t="shared" si="41"/>
        <v>0.8539171428571428</v>
      </c>
      <c r="AB118" s="726" t="s">
        <v>938</v>
      </c>
    </row>
    <row r="119" spans="1:28" s="702" customFormat="1" ht="15.75" customHeight="1">
      <c r="A119" s="897" t="s">
        <v>989</v>
      </c>
      <c r="B119" s="897"/>
      <c r="C119" s="897"/>
      <c r="D119" s="897"/>
      <c r="E119" s="719">
        <f aca="true" t="shared" si="42" ref="E119:Z119">(E5+E23+E38+E55)</f>
        <v>2579625.995</v>
      </c>
      <c r="F119" s="719">
        <f t="shared" si="42"/>
        <v>-60000</v>
      </c>
      <c r="G119" s="719">
        <f t="shared" si="42"/>
        <v>2519625.995</v>
      </c>
      <c r="H119" s="719">
        <f t="shared" si="42"/>
        <v>0</v>
      </c>
      <c r="I119" s="719">
        <f t="shared" si="42"/>
        <v>287104</v>
      </c>
      <c r="J119" s="719">
        <f t="shared" si="42"/>
        <v>0</v>
      </c>
      <c r="K119" s="719">
        <f t="shared" si="42"/>
        <v>317300</v>
      </c>
      <c r="L119" s="719">
        <f t="shared" si="42"/>
        <v>604404</v>
      </c>
      <c r="M119" s="719">
        <f t="shared" si="42"/>
        <v>3124029.995</v>
      </c>
      <c r="N119" s="719">
        <f t="shared" si="42"/>
        <v>202627.02000000002</v>
      </c>
      <c r="O119" s="719">
        <f t="shared" si="42"/>
        <v>221431.22999999998</v>
      </c>
      <c r="P119" s="719">
        <f t="shared" si="42"/>
        <v>212096.71</v>
      </c>
      <c r="Q119" s="719">
        <f t="shared" si="42"/>
        <v>232444.75</v>
      </c>
      <c r="R119" s="719">
        <f t="shared" si="42"/>
        <v>346583.41</v>
      </c>
      <c r="S119" s="719">
        <f t="shared" si="42"/>
        <v>457484.75</v>
      </c>
      <c r="T119" s="719">
        <f t="shared" si="42"/>
        <v>0</v>
      </c>
      <c r="U119" s="719">
        <f t="shared" si="42"/>
        <v>0</v>
      </c>
      <c r="V119" s="719">
        <f t="shared" si="42"/>
        <v>0</v>
      </c>
      <c r="W119" s="719">
        <f t="shared" si="42"/>
        <v>0</v>
      </c>
      <c r="X119" s="719">
        <f t="shared" si="42"/>
        <v>0</v>
      </c>
      <c r="Y119" s="719">
        <f t="shared" si="42"/>
        <v>0</v>
      </c>
      <c r="Z119" s="719">
        <f t="shared" si="42"/>
        <v>1672667.87</v>
      </c>
      <c r="AA119" s="695">
        <f>Z119/M119</f>
        <v>0.5354199135978527</v>
      </c>
      <c r="AB119" s="731"/>
    </row>
    <row r="120" spans="1:28" s="702" customFormat="1" ht="12">
      <c r="A120" s="387"/>
      <c r="B120" s="387"/>
      <c r="C120" s="387"/>
      <c r="D120" s="387"/>
      <c r="E120" s="732">
        <f>E119-'[4]Przychody'!E40</f>
        <v>32849.99500000011</v>
      </c>
      <c r="F120" s="732">
        <f>F119-'[4]Przychody'!F40</f>
        <v>-32850</v>
      </c>
      <c r="G120" s="732">
        <f>G119-'[4]Przychody'!G40</f>
        <v>-0.004999999888241291</v>
      </c>
      <c r="H120" s="732"/>
      <c r="I120" s="732"/>
      <c r="J120" s="732"/>
      <c r="K120" s="732"/>
      <c r="L120" s="732"/>
      <c r="M120" s="732"/>
      <c r="N120" s="732"/>
      <c r="O120" s="732"/>
      <c r="P120" s="732"/>
      <c r="Q120" s="732"/>
      <c r="R120" s="732"/>
      <c r="S120" s="732"/>
      <c r="T120" s="732"/>
      <c r="U120" s="732"/>
      <c r="V120" s="732"/>
      <c r="W120" s="732"/>
      <c r="X120" s="732"/>
      <c r="Y120" s="732"/>
      <c r="Z120" s="732"/>
      <c r="AA120" s="733"/>
      <c r="AB120" s="734"/>
    </row>
  </sheetData>
  <mergeCells count="16">
    <mergeCell ref="AB92:AB94"/>
    <mergeCell ref="AB98:AB102"/>
    <mergeCell ref="AB104:AB107"/>
    <mergeCell ref="A119:D119"/>
    <mergeCell ref="AB7:AB11"/>
    <mergeCell ref="AB12:AB16"/>
    <mergeCell ref="AB17:AB18"/>
    <mergeCell ref="AB25:AB29"/>
    <mergeCell ref="AB30:AB33"/>
    <mergeCell ref="AB40:AB44"/>
    <mergeCell ref="AB45:AB49"/>
    <mergeCell ref="AB57:AB61"/>
    <mergeCell ref="AB62:AB66"/>
    <mergeCell ref="AB73:AB77"/>
    <mergeCell ref="AB78:AB80"/>
    <mergeCell ref="AB86:AB90"/>
  </mergeCells>
  <printOptions horizontalCentered="1"/>
  <pageMargins left="0.15748031496062992" right="0.15748031496062992" top="0.15748031496062992" bottom="0.15748031496062992" header="0.15748031496062992" footer="0.15748031496062992"/>
  <pageSetup fitToHeight="2" horizontalDpi="600" verticalDpi="600" orientation="portrait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6"/>
    <pageSetUpPr fitToPage="1"/>
  </sheetPr>
  <dimension ref="B1:G53"/>
  <sheetViews>
    <sheetView zoomScale="150" zoomScaleNormal="150" workbookViewId="0" topLeftCell="A34">
      <selection activeCell="B1" sqref="B1:G53"/>
    </sheetView>
  </sheetViews>
  <sheetFormatPr defaultColWidth="9.140625" defaultRowHeight="12.75"/>
  <cols>
    <col min="1" max="1" width="4.140625" style="266" customWidth="1"/>
    <col min="2" max="2" width="5.28125" style="267" customWidth="1"/>
    <col min="3" max="3" width="12.28125" style="266" customWidth="1"/>
    <col min="4" max="5" width="12.00390625" style="266" customWidth="1"/>
    <col min="6" max="6" width="12.28125" style="266" customWidth="1"/>
    <col min="7" max="7" width="52.140625" style="266" customWidth="1"/>
    <col min="8" max="16384" width="9.140625" style="266" customWidth="1"/>
  </cols>
  <sheetData>
    <row r="1" ht="12.75">
      <c r="G1" s="268" t="s">
        <v>714</v>
      </c>
    </row>
    <row r="2" spans="2:7" ht="12.75">
      <c r="B2" s="898" t="s">
        <v>399</v>
      </c>
      <c r="C2" s="898"/>
      <c r="D2" s="898"/>
      <c r="E2" s="898"/>
      <c r="F2" s="898"/>
      <c r="G2" s="898"/>
    </row>
    <row r="4" spans="2:7" s="20" customFormat="1" ht="13.5" customHeight="1">
      <c r="B4" s="899" t="s">
        <v>715</v>
      </c>
      <c r="C4" s="901" t="s">
        <v>716</v>
      </c>
      <c r="D4" s="902"/>
      <c r="E4" s="901" t="s">
        <v>717</v>
      </c>
      <c r="F4" s="902"/>
      <c r="G4" s="903" t="s">
        <v>718</v>
      </c>
    </row>
    <row r="5" spans="2:7" s="20" customFormat="1" ht="20.25" customHeight="1">
      <c r="B5" s="900"/>
      <c r="C5" s="269" t="s">
        <v>719</v>
      </c>
      <c r="D5" s="269" t="s">
        <v>720</v>
      </c>
      <c r="E5" s="269" t="s">
        <v>719</v>
      </c>
      <c r="F5" s="269" t="s">
        <v>720</v>
      </c>
      <c r="G5" s="904"/>
    </row>
    <row r="6" spans="2:7" s="20" customFormat="1" ht="12.75">
      <c r="B6" s="54" t="s">
        <v>721</v>
      </c>
      <c r="C6" s="905" t="s">
        <v>722</v>
      </c>
      <c r="D6" s="906"/>
      <c r="E6" s="906"/>
      <c r="F6" s="906"/>
      <c r="G6" s="907"/>
    </row>
    <row r="7" spans="2:7" s="28" customFormat="1" ht="14.25" customHeight="1">
      <c r="B7" s="908"/>
      <c r="C7" s="46">
        <v>2960.71</v>
      </c>
      <c r="D7" s="46"/>
      <c r="E7" s="46"/>
      <c r="F7" s="46"/>
      <c r="G7" s="46" t="s">
        <v>723</v>
      </c>
    </row>
    <row r="8" spans="2:7" s="28" customFormat="1" ht="12.75">
      <c r="B8" s="908"/>
      <c r="C8" s="46">
        <v>600</v>
      </c>
      <c r="D8" s="46"/>
      <c r="E8" s="46"/>
      <c r="F8" s="46"/>
      <c r="G8" s="46" t="s">
        <v>400</v>
      </c>
    </row>
    <row r="9" spans="2:7" s="28" customFormat="1" ht="12.75">
      <c r="B9" s="908"/>
      <c r="C9" s="46"/>
      <c r="D9" s="46">
        <v>3378.73</v>
      </c>
      <c r="E9" s="46"/>
      <c r="F9" s="46"/>
      <c r="G9" s="46" t="s">
        <v>401</v>
      </c>
    </row>
    <row r="10" spans="2:7" s="28" customFormat="1" ht="12.75">
      <c r="B10" s="908"/>
      <c r="C10" s="46">
        <v>4247.58</v>
      </c>
      <c r="D10" s="46"/>
      <c r="E10" s="46"/>
      <c r="F10" s="46"/>
      <c r="G10" s="46" t="s">
        <v>724</v>
      </c>
    </row>
    <row r="11" spans="2:7" s="28" customFormat="1" ht="30" customHeight="1">
      <c r="B11" s="908"/>
      <c r="C11" s="46"/>
      <c r="D11" s="46">
        <v>2131.14</v>
      </c>
      <c r="E11" s="46"/>
      <c r="F11" s="46"/>
      <c r="G11" s="46" t="s">
        <v>725</v>
      </c>
    </row>
    <row r="12" spans="2:7" s="28" customFormat="1" ht="30" customHeight="1">
      <c r="B12" s="908"/>
      <c r="C12" s="46"/>
      <c r="D12" s="46">
        <v>1354.04</v>
      </c>
      <c r="E12" s="46"/>
      <c r="F12" s="46"/>
      <c r="G12" s="46" t="s">
        <v>662</v>
      </c>
    </row>
    <row r="13" spans="2:7" s="28" customFormat="1" ht="25.5">
      <c r="B13" s="908"/>
      <c r="C13" s="46"/>
      <c r="D13" s="46">
        <v>2194.1</v>
      </c>
      <c r="E13" s="46"/>
      <c r="F13" s="46"/>
      <c r="G13" s="46" t="s">
        <v>663</v>
      </c>
    </row>
    <row r="14" spans="2:7" s="28" customFormat="1" ht="25.5">
      <c r="B14" s="908"/>
      <c r="C14" s="46">
        <v>6653.35</v>
      </c>
      <c r="D14" s="46">
        <v>992</v>
      </c>
      <c r="E14" s="46"/>
      <c r="F14" s="46"/>
      <c r="G14" s="46" t="s">
        <v>664</v>
      </c>
    </row>
    <row r="15" spans="2:7" s="28" customFormat="1" ht="16.5" customHeight="1">
      <c r="B15" s="908"/>
      <c r="C15" s="46">
        <f>8495.94+42757.84</f>
        <v>51253.78</v>
      </c>
      <c r="D15" s="46">
        <f>450306.79+872199.77-C15</f>
        <v>1271252.78</v>
      </c>
      <c r="E15" s="46"/>
      <c r="F15" s="46"/>
      <c r="G15" s="46" t="s">
        <v>665</v>
      </c>
    </row>
    <row r="16" spans="2:7" s="28" customFormat="1" ht="12.75">
      <c r="B16" s="908"/>
      <c r="C16" s="46">
        <f>11792.96+1227.1</f>
        <v>13020.06</v>
      </c>
      <c r="D16" s="46">
        <f>221911.15+277495.56-C16</f>
        <v>486386.64999999997</v>
      </c>
      <c r="E16" s="46"/>
      <c r="F16" s="46"/>
      <c r="G16" s="46" t="s">
        <v>666</v>
      </c>
    </row>
    <row r="17" spans="2:7" s="28" customFormat="1" ht="12.75">
      <c r="B17" s="908"/>
      <c r="C17" s="46">
        <v>1</v>
      </c>
      <c r="D17" s="46">
        <f>853.89+17860.5-C17</f>
        <v>18713.39</v>
      </c>
      <c r="E17" s="46"/>
      <c r="F17" s="46"/>
      <c r="G17" s="46" t="s">
        <v>667</v>
      </c>
    </row>
    <row r="18" spans="2:7" s="28" customFormat="1" ht="12.75">
      <c r="B18" s="908"/>
      <c r="C18" s="46">
        <f>8+7799.47</f>
        <v>7807.47</v>
      </c>
      <c r="D18" s="46">
        <f>51479.47+7463-C18</f>
        <v>51135</v>
      </c>
      <c r="E18" s="46"/>
      <c r="F18" s="46"/>
      <c r="G18" s="46" t="s">
        <v>693</v>
      </c>
    </row>
    <row r="19" spans="2:7" s="28" customFormat="1" ht="12.75">
      <c r="B19" s="908"/>
      <c r="C19" s="46">
        <v>2789.93</v>
      </c>
      <c r="D19" s="46">
        <f>16209-C19</f>
        <v>13419.07</v>
      </c>
      <c r="E19" s="46"/>
      <c r="F19" s="46"/>
      <c r="G19" s="46" t="s">
        <v>402</v>
      </c>
    </row>
    <row r="20" spans="2:7" s="28" customFormat="1" ht="12.75">
      <c r="B20" s="908"/>
      <c r="C20" s="46">
        <v>135.05</v>
      </c>
      <c r="D20" s="46"/>
      <c r="E20" s="46"/>
      <c r="F20" s="46"/>
      <c r="G20" s="46" t="s">
        <v>694</v>
      </c>
    </row>
    <row r="21" spans="2:7" s="28" customFormat="1" ht="25.5">
      <c r="B21" s="908"/>
      <c r="C21" s="46"/>
      <c r="D21" s="46">
        <f>4059+664</f>
        <v>4723</v>
      </c>
      <c r="E21" s="46"/>
      <c r="F21" s="46"/>
      <c r="G21" s="46" t="s">
        <v>695</v>
      </c>
    </row>
    <row r="22" spans="2:7" s="28" customFormat="1" ht="12.75">
      <c r="B22" s="908"/>
      <c r="C22" s="46">
        <v>178218.6</v>
      </c>
      <c r="D22" s="46"/>
      <c r="E22" s="46"/>
      <c r="F22" s="46"/>
      <c r="G22" s="46" t="s">
        <v>696</v>
      </c>
    </row>
    <row r="23" spans="2:7" s="28" customFormat="1" ht="25.5">
      <c r="B23" s="908"/>
      <c r="C23" s="46"/>
      <c r="D23" s="46">
        <v>64124.48</v>
      </c>
      <c r="E23" s="46"/>
      <c r="F23" s="46"/>
      <c r="G23" s="46" t="s">
        <v>697</v>
      </c>
    </row>
    <row r="24" spans="2:7" s="28" customFormat="1" ht="12.75">
      <c r="B24" s="908"/>
      <c r="C24" s="46"/>
      <c r="D24" s="46">
        <v>135.21</v>
      </c>
      <c r="E24" s="46"/>
      <c r="F24" s="46"/>
      <c r="G24" s="46" t="s">
        <v>403</v>
      </c>
    </row>
    <row r="25" spans="2:7" s="28" customFormat="1" ht="12.75">
      <c r="B25" s="908"/>
      <c r="C25" s="46">
        <v>142415.15</v>
      </c>
      <c r="D25" s="46"/>
      <c r="E25" s="46"/>
      <c r="F25" s="46"/>
      <c r="G25" s="46" t="s">
        <v>261</v>
      </c>
    </row>
    <row r="26" spans="2:7" s="28" customFormat="1" ht="12.75">
      <c r="B26" s="908"/>
      <c r="C26" s="46"/>
      <c r="D26" s="46"/>
      <c r="E26" s="46"/>
      <c r="F26" s="46">
        <v>2987179.69</v>
      </c>
      <c r="G26" s="46" t="s">
        <v>1010</v>
      </c>
    </row>
    <row r="27" spans="2:7" s="28" customFormat="1" ht="12.75">
      <c r="B27" s="908"/>
      <c r="C27" s="46"/>
      <c r="D27" s="46"/>
      <c r="E27" s="46"/>
      <c r="F27" s="46">
        <f>2673.98+8797.44+29330.61+10698</f>
        <v>51500.03</v>
      </c>
      <c r="G27" s="46" t="s">
        <v>404</v>
      </c>
    </row>
    <row r="28" spans="2:7" s="28" customFormat="1" ht="35.25" customHeight="1">
      <c r="B28" s="904"/>
      <c r="C28" s="46"/>
      <c r="D28" s="46"/>
      <c r="E28" s="46"/>
      <c r="F28" s="46">
        <v>32579.05</v>
      </c>
      <c r="G28" s="46" t="s">
        <v>698</v>
      </c>
    </row>
    <row r="29" spans="2:7" s="28" customFormat="1" ht="12.75">
      <c r="B29" s="54" t="s">
        <v>699</v>
      </c>
      <c r="C29" s="905" t="s">
        <v>700</v>
      </c>
      <c r="D29" s="906"/>
      <c r="E29" s="906"/>
      <c r="F29" s="906"/>
      <c r="G29" s="907"/>
    </row>
    <row r="30" spans="2:7" s="28" customFormat="1" ht="12.75">
      <c r="B30" s="270"/>
      <c r="C30" s="46"/>
      <c r="D30" s="46"/>
      <c r="E30" s="46"/>
      <c r="F30" s="46">
        <v>140029.55</v>
      </c>
      <c r="G30" s="46" t="s">
        <v>404</v>
      </c>
    </row>
    <row r="31" spans="2:7" s="28" customFormat="1" ht="12.75">
      <c r="B31" s="54" t="s">
        <v>701</v>
      </c>
      <c r="C31" s="905" t="s">
        <v>702</v>
      </c>
      <c r="D31" s="906"/>
      <c r="E31" s="906"/>
      <c r="F31" s="906"/>
      <c r="G31" s="907"/>
    </row>
    <row r="32" spans="2:7" s="28" customFormat="1" ht="12.75">
      <c r="B32" s="35"/>
      <c r="C32" s="46"/>
      <c r="D32" s="46"/>
      <c r="E32" s="46"/>
      <c r="F32" s="46">
        <v>10602.65</v>
      </c>
      <c r="G32" s="46" t="s">
        <v>404</v>
      </c>
    </row>
    <row r="33" spans="2:7" s="28" customFormat="1" ht="12.75">
      <c r="B33" s="54" t="s">
        <v>703</v>
      </c>
      <c r="C33" s="905" t="s">
        <v>704</v>
      </c>
      <c r="D33" s="906"/>
      <c r="E33" s="906"/>
      <c r="F33" s="906"/>
      <c r="G33" s="907"/>
    </row>
    <row r="34" spans="2:7" s="28" customFormat="1" ht="18" customHeight="1">
      <c r="B34" s="903"/>
      <c r="C34" s="46">
        <v>97430.91</v>
      </c>
      <c r="D34" s="46">
        <v>64989.29</v>
      </c>
      <c r="E34" s="48"/>
      <c r="F34" s="48"/>
      <c r="G34" s="46" t="s">
        <v>349</v>
      </c>
    </row>
    <row r="35" spans="2:7" s="28" customFormat="1" ht="21.75" customHeight="1">
      <c r="B35" s="908"/>
      <c r="C35" s="48"/>
      <c r="D35" s="46">
        <v>100951.23</v>
      </c>
      <c r="E35" s="48"/>
      <c r="F35" s="48"/>
      <c r="G35" s="46" t="s">
        <v>350</v>
      </c>
    </row>
    <row r="36" spans="2:7" s="28" customFormat="1" ht="17.25" customHeight="1">
      <c r="B36" s="908"/>
      <c r="C36" s="48"/>
      <c r="D36" s="48"/>
      <c r="E36" s="46"/>
      <c r="F36" s="46">
        <v>119491.33</v>
      </c>
      <c r="G36" s="46" t="s">
        <v>349</v>
      </c>
    </row>
    <row r="37" spans="2:7" s="28" customFormat="1" ht="29.25" customHeight="1">
      <c r="B37" s="908"/>
      <c r="C37" s="48"/>
      <c r="D37" s="48"/>
      <c r="E37" s="46"/>
      <c r="F37" s="46">
        <v>19175.93</v>
      </c>
      <c r="G37" s="46" t="s">
        <v>405</v>
      </c>
    </row>
    <row r="38" spans="2:7" s="28" customFormat="1" ht="16.5" customHeight="1">
      <c r="B38" s="908"/>
      <c r="C38" s="48"/>
      <c r="D38" s="48"/>
      <c r="E38" s="48"/>
      <c r="F38" s="46">
        <v>2549.57</v>
      </c>
      <c r="G38" s="46" t="s">
        <v>350</v>
      </c>
    </row>
    <row r="39" spans="2:7" s="28" customFormat="1" ht="16.5" customHeight="1">
      <c r="B39" s="908"/>
      <c r="C39" s="48"/>
      <c r="D39" s="48"/>
      <c r="E39" s="48"/>
      <c r="F39" s="46">
        <v>31886</v>
      </c>
      <c r="G39" s="46" t="s">
        <v>406</v>
      </c>
    </row>
    <row r="40" spans="2:7" s="28" customFormat="1" ht="16.5" customHeight="1">
      <c r="B40" s="908"/>
      <c r="C40" s="48"/>
      <c r="D40" s="48"/>
      <c r="E40" s="48"/>
      <c r="F40" s="46">
        <v>9692</v>
      </c>
      <c r="G40" s="46" t="s">
        <v>351</v>
      </c>
    </row>
    <row r="41" spans="2:7" s="28" customFormat="1" ht="16.5" customHeight="1">
      <c r="B41" s="908"/>
      <c r="C41" s="48"/>
      <c r="D41" s="48"/>
      <c r="E41" s="48"/>
      <c r="F41" s="46">
        <v>41671.9</v>
      </c>
      <c r="G41" s="46" t="s">
        <v>352</v>
      </c>
    </row>
    <row r="42" spans="2:7" s="28" customFormat="1" ht="16.5" customHeight="1">
      <c r="B42" s="908"/>
      <c r="C42" s="48"/>
      <c r="D42" s="48"/>
      <c r="E42" s="48"/>
      <c r="F42" s="46">
        <v>37.38</v>
      </c>
      <c r="G42" s="46" t="s">
        <v>407</v>
      </c>
    </row>
    <row r="43" spans="2:7" s="28" customFormat="1" ht="16.5" customHeight="1">
      <c r="B43" s="908"/>
      <c r="C43" s="48"/>
      <c r="D43" s="48"/>
      <c r="E43" s="48"/>
      <c r="F43" s="46">
        <v>9</v>
      </c>
      <c r="G43" s="46" t="s">
        <v>408</v>
      </c>
    </row>
    <row r="44" spans="2:7" s="28" customFormat="1" ht="16.5" customHeight="1">
      <c r="B44" s="904"/>
      <c r="C44" s="48"/>
      <c r="D44" s="48"/>
      <c r="E44" s="48"/>
      <c r="F44" s="46">
        <v>8535.11</v>
      </c>
      <c r="G44" s="46" t="s">
        <v>409</v>
      </c>
    </row>
    <row r="45" spans="2:7" s="80" customFormat="1" ht="12.75">
      <c r="B45" s="54" t="s">
        <v>256</v>
      </c>
      <c r="C45" s="905" t="s">
        <v>257</v>
      </c>
      <c r="D45" s="906"/>
      <c r="E45" s="906"/>
      <c r="F45" s="906"/>
      <c r="G45" s="907"/>
    </row>
    <row r="46" spans="2:7" s="80" customFormat="1" ht="12.75">
      <c r="B46" s="389"/>
      <c r="C46" s="48"/>
      <c r="D46" s="48"/>
      <c r="E46" s="48"/>
      <c r="F46" s="46">
        <v>5124.07</v>
      </c>
      <c r="G46" s="46" t="s">
        <v>1009</v>
      </c>
    </row>
    <row r="47" spans="2:7" s="80" customFormat="1" ht="12.75">
      <c r="B47" s="389"/>
      <c r="C47" s="742"/>
      <c r="D47" s="743"/>
      <c r="E47" s="743"/>
      <c r="F47" s="744">
        <v>1075</v>
      </c>
      <c r="G47" s="46" t="s">
        <v>412</v>
      </c>
    </row>
    <row r="48" spans="2:7" s="28" customFormat="1" ht="12.75">
      <c r="B48" s="54" t="s">
        <v>258</v>
      </c>
      <c r="C48" s="905" t="s">
        <v>259</v>
      </c>
      <c r="D48" s="906"/>
      <c r="E48" s="906"/>
      <c r="F48" s="906"/>
      <c r="G48" s="907"/>
    </row>
    <row r="49" spans="2:7" s="28" customFormat="1" ht="12.75">
      <c r="B49" s="903"/>
      <c r="C49" s="46">
        <v>160</v>
      </c>
      <c r="D49" s="48"/>
      <c r="E49" s="48"/>
      <c r="F49" s="48"/>
      <c r="G49" s="46" t="s">
        <v>260</v>
      </c>
    </row>
    <row r="50" spans="2:7" s="28" customFormat="1" ht="12.75">
      <c r="B50" s="908"/>
      <c r="C50" s="48"/>
      <c r="D50" s="48"/>
      <c r="E50" s="46">
        <v>118.04</v>
      </c>
      <c r="F50" s="46">
        <v>6074.2</v>
      </c>
      <c r="G50" s="46" t="s">
        <v>260</v>
      </c>
    </row>
    <row r="51" spans="2:7" s="28" customFormat="1" ht="25.5">
      <c r="B51" s="908"/>
      <c r="C51" s="48"/>
      <c r="D51" s="48"/>
      <c r="E51" s="46"/>
      <c r="F51" s="46">
        <v>808</v>
      </c>
      <c r="G51" s="46" t="s">
        <v>410</v>
      </c>
    </row>
    <row r="52" spans="2:7" s="28" customFormat="1" ht="12.75">
      <c r="B52" s="908"/>
      <c r="C52" s="48"/>
      <c r="D52" s="48"/>
      <c r="E52" s="46"/>
      <c r="F52" s="46">
        <v>3609.42</v>
      </c>
      <c r="G52" s="46" t="s">
        <v>411</v>
      </c>
    </row>
    <row r="53" spans="2:7" s="28" customFormat="1" ht="12.75">
      <c r="B53" s="905"/>
      <c r="C53" s="906"/>
      <c r="D53" s="906"/>
      <c r="E53" s="906"/>
      <c r="F53" s="906"/>
      <c r="G53" s="907"/>
    </row>
  </sheetData>
  <mergeCells count="15">
    <mergeCell ref="B34:B44"/>
    <mergeCell ref="B53:G53"/>
    <mergeCell ref="C45:G45"/>
    <mergeCell ref="C48:G48"/>
    <mergeCell ref="B49:B52"/>
    <mergeCell ref="C31:G31"/>
    <mergeCell ref="C33:G33"/>
    <mergeCell ref="C6:G6"/>
    <mergeCell ref="B7:B28"/>
    <mergeCell ref="C29:G29"/>
    <mergeCell ref="B2:G2"/>
    <mergeCell ref="B4:B5"/>
    <mergeCell ref="C4:D4"/>
    <mergeCell ref="E4:F4"/>
    <mergeCell ref="G4:G5"/>
  </mergeCells>
  <printOptions/>
  <pageMargins left="0.15748031496062992" right="0.15748031496062992" top="0.15748031496062992" bottom="0.15748031496062992" header="0.15748031496062992" footer="0.15748031496062992"/>
  <pageSetup fitToHeight="1" fitToWidth="1" horizontalDpi="600" verticalDpi="600" orientation="portrait" paperSize="9" scale="9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9"/>
    <pageSetUpPr fitToPage="1"/>
  </sheetPr>
  <dimension ref="A1:J113"/>
  <sheetViews>
    <sheetView zoomScale="150" zoomScaleNormal="150" workbookViewId="0" topLeftCell="A40">
      <selection activeCell="D47" sqref="D47"/>
    </sheetView>
  </sheetViews>
  <sheetFormatPr defaultColWidth="9.140625" defaultRowHeight="12.75"/>
  <cols>
    <col min="1" max="1" width="24.57421875" style="266" customWidth="1"/>
    <col min="2" max="2" width="13.00390625" style="266" hidden="1" customWidth="1"/>
    <col min="3" max="3" width="12.7109375" style="266" hidden="1" customWidth="1"/>
    <col min="4" max="5" width="12.7109375" style="266" customWidth="1"/>
    <col min="6" max="6" width="8.140625" style="266" customWidth="1"/>
    <col min="7" max="7" width="50.8515625" style="266" customWidth="1"/>
    <col min="8" max="8" width="9.140625" style="266" customWidth="1"/>
    <col min="9" max="9" width="10.140625" style="266" bestFit="1" customWidth="1"/>
    <col min="10" max="16384" width="9.140625" style="266" customWidth="1"/>
  </cols>
  <sheetData>
    <row r="1" ht="12.75">
      <c r="G1" s="747" t="s">
        <v>416</v>
      </c>
    </row>
    <row r="2" spans="1:7" ht="22.5" customHeight="1">
      <c r="A2" s="20" t="s">
        <v>956</v>
      </c>
      <c r="B2" s="20"/>
      <c r="C2" s="20"/>
      <c r="D2" s="20"/>
      <c r="E2" s="20"/>
      <c r="F2" s="20"/>
      <c r="G2" s="20"/>
    </row>
    <row r="3" spans="1:7" ht="36">
      <c r="A3" s="272" t="s">
        <v>262</v>
      </c>
      <c r="B3" s="261" t="s">
        <v>263</v>
      </c>
      <c r="C3" s="261" t="s">
        <v>264</v>
      </c>
      <c r="D3" s="261" t="s">
        <v>957</v>
      </c>
      <c r="E3" s="261" t="s">
        <v>958</v>
      </c>
      <c r="F3" s="261" t="s">
        <v>153</v>
      </c>
      <c r="G3" s="272" t="s">
        <v>959</v>
      </c>
    </row>
    <row r="4" spans="1:7" ht="12.75">
      <c r="A4" s="273" t="s">
        <v>265</v>
      </c>
      <c r="B4" s="274">
        <f>B5+B6+B7+B8</f>
        <v>15500</v>
      </c>
      <c r="C4" s="274"/>
      <c r="D4" s="274">
        <f>D5+D6+D7+D8</f>
        <v>17200</v>
      </c>
      <c r="E4" s="274">
        <f>E5+E6+E7+E8</f>
        <v>8195.69</v>
      </c>
      <c r="F4" s="275">
        <f>E4/D4</f>
        <v>0.4764936046511628</v>
      </c>
      <c r="G4" s="276"/>
    </row>
    <row r="5" spans="1:7" ht="12.75">
      <c r="A5" s="277" t="s">
        <v>266</v>
      </c>
      <c r="B5" s="278">
        <v>1000</v>
      </c>
      <c r="C5" s="278"/>
      <c r="D5" s="278">
        <v>1200</v>
      </c>
      <c r="E5" s="278">
        <v>505.39</v>
      </c>
      <c r="F5" s="279">
        <f aca="true" t="shared" si="0" ref="F5:F34">E5/D5</f>
        <v>0.4211583333333333</v>
      </c>
      <c r="G5" s="277" t="s">
        <v>267</v>
      </c>
    </row>
    <row r="6" spans="1:7" ht="38.25">
      <c r="A6" s="277" t="s">
        <v>268</v>
      </c>
      <c r="B6" s="278">
        <v>5000</v>
      </c>
      <c r="C6" s="278"/>
      <c r="D6" s="278">
        <v>5000</v>
      </c>
      <c r="E6" s="278">
        <f>247.1+2247.03</f>
        <v>2494.13</v>
      </c>
      <c r="F6" s="279">
        <f t="shared" si="0"/>
        <v>0.49882600000000005</v>
      </c>
      <c r="G6" s="277" t="s">
        <v>269</v>
      </c>
    </row>
    <row r="7" spans="1:7" ht="38.25">
      <c r="A7" s="277" t="s">
        <v>270</v>
      </c>
      <c r="B7" s="278">
        <v>7000</v>
      </c>
      <c r="C7" s="278"/>
      <c r="D7" s="278">
        <v>5500</v>
      </c>
      <c r="E7" s="278">
        <f>2487.03+71.98</f>
        <v>2559.01</v>
      </c>
      <c r="F7" s="279">
        <f t="shared" si="0"/>
        <v>0.4652745454545455</v>
      </c>
      <c r="G7" s="277" t="s">
        <v>966</v>
      </c>
    </row>
    <row r="8" spans="1:7" ht="25.5">
      <c r="A8" s="277" t="s">
        <v>271</v>
      </c>
      <c r="B8" s="278">
        <v>2500</v>
      </c>
      <c r="C8" s="278"/>
      <c r="D8" s="278">
        <v>5500</v>
      </c>
      <c r="E8" s="278">
        <f>39.9+464.62+1075.86+1056.78</f>
        <v>2637.16</v>
      </c>
      <c r="F8" s="279">
        <f t="shared" si="0"/>
        <v>0.47948363636363633</v>
      </c>
      <c r="G8" s="277" t="s">
        <v>967</v>
      </c>
    </row>
    <row r="9" spans="1:7" ht="12.75">
      <c r="A9" s="280" t="s">
        <v>272</v>
      </c>
      <c r="B9" s="274">
        <v>15000</v>
      </c>
      <c r="C9" s="274"/>
      <c r="D9" s="274">
        <v>20000</v>
      </c>
      <c r="E9" s="274">
        <v>9294.64</v>
      </c>
      <c r="F9" s="275">
        <f t="shared" si="0"/>
        <v>0.464732</v>
      </c>
      <c r="G9" s="276" t="s">
        <v>968</v>
      </c>
    </row>
    <row r="10" spans="1:7" ht="12.75">
      <c r="A10" s="280" t="s">
        <v>273</v>
      </c>
      <c r="B10" s="274">
        <f>B11+B12</f>
        <v>16000</v>
      </c>
      <c r="C10" s="274"/>
      <c r="D10" s="274">
        <f>D11+D12</f>
        <v>20000</v>
      </c>
      <c r="E10" s="274">
        <f>E11+E12</f>
        <v>12698.210000000001</v>
      </c>
      <c r="F10" s="275">
        <f t="shared" si="0"/>
        <v>0.6349105</v>
      </c>
      <c r="G10" s="276"/>
    </row>
    <row r="11" spans="1:7" ht="25.5">
      <c r="A11" s="281" t="s">
        <v>274</v>
      </c>
      <c r="B11" s="278">
        <v>6000</v>
      </c>
      <c r="C11" s="278"/>
      <c r="D11" s="278">
        <v>7000</v>
      </c>
      <c r="E11" s="278">
        <v>3670.67</v>
      </c>
      <c r="F11" s="279">
        <f t="shared" si="0"/>
        <v>0.5243814285714286</v>
      </c>
      <c r="G11" s="277" t="s">
        <v>275</v>
      </c>
    </row>
    <row r="12" spans="1:7" ht="25.5">
      <c r="A12" s="281" t="s">
        <v>276</v>
      </c>
      <c r="B12" s="278">
        <v>10000</v>
      </c>
      <c r="C12" s="278"/>
      <c r="D12" s="278">
        <v>13000</v>
      </c>
      <c r="E12" s="278">
        <v>9027.54</v>
      </c>
      <c r="F12" s="279">
        <f t="shared" si="0"/>
        <v>0.6944261538461539</v>
      </c>
      <c r="G12" s="277" t="s">
        <v>969</v>
      </c>
    </row>
    <row r="13" spans="1:7" s="358" customFormat="1" ht="12.75">
      <c r="A13" s="280" t="s">
        <v>277</v>
      </c>
      <c r="B13" s="274">
        <f>B14</f>
        <v>20000</v>
      </c>
      <c r="C13" s="274"/>
      <c r="D13" s="274">
        <v>13000</v>
      </c>
      <c r="E13" s="274">
        <f>E14</f>
        <v>10907.58</v>
      </c>
      <c r="F13" s="275">
        <f>E13/D13</f>
        <v>0.8390446153846154</v>
      </c>
      <c r="G13" s="282"/>
    </row>
    <row r="14" spans="1:9" ht="17.25" customHeight="1">
      <c r="A14" s="277" t="s">
        <v>960</v>
      </c>
      <c r="B14" s="278">
        <v>20000</v>
      </c>
      <c r="C14" s="278"/>
      <c r="D14" s="278">
        <v>13000</v>
      </c>
      <c r="E14" s="278">
        <v>10907.58</v>
      </c>
      <c r="F14" s="279">
        <f>E14/D14</f>
        <v>0.8390446153846154</v>
      </c>
      <c r="G14" s="277" t="s">
        <v>961</v>
      </c>
      <c r="I14" s="289"/>
    </row>
    <row r="15" spans="1:7" ht="12.75">
      <c r="A15" s="280" t="s">
        <v>278</v>
      </c>
      <c r="B15" s="274">
        <f>B16+B17+B18+B19+B20+B21+B22</f>
        <v>28000</v>
      </c>
      <c r="C15" s="274"/>
      <c r="D15" s="274">
        <f>D16+D17+D18+D19+D20+D21+D22</f>
        <v>29500</v>
      </c>
      <c r="E15" s="274">
        <f>E16+E17+E18+E19+E20+E21+E22</f>
        <v>12445.899999999998</v>
      </c>
      <c r="F15" s="275">
        <f t="shared" si="0"/>
        <v>0.4218949152542372</v>
      </c>
      <c r="G15" s="276"/>
    </row>
    <row r="16" spans="1:7" ht="12.75">
      <c r="A16" s="281" t="s">
        <v>279</v>
      </c>
      <c r="B16" s="278">
        <v>1000</v>
      </c>
      <c r="C16" s="278"/>
      <c r="D16" s="278">
        <v>1500</v>
      </c>
      <c r="E16" s="278">
        <f>353.46+183</f>
        <v>536.46</v>
      </c>
      <c r="F16" s="279">
        <f t="shared" si="0"/>
        <v>0.35764</v>
      </c>
      <c r="G16" s="277" t="s">
        <v>280</v>
      </c>
    </row>
    <row r="17" spans="1:7" ht="38.25">
      <c r="A17" s="281" t="s">
        <v>281</v>
      </c>
      <c r="B17" s="278">
        <v>6500</v>
      </c>
      <c r="C17" s="278"/>
      <c r="D17" s="278">
        <v>5000</v>
      </c>
      <c r="E17" s="278">
        <v>2377.32</v>
      </c>
      <c r="F17" s="279">
        <f t="shared" si="0"/>
        <v>0.47546400000000005</v>
      </c>
      <c r="G17" s="277" t="s">
        <v>456</v>
      </c>
    </row>
    <row r="18" spans="1:7" ht="25.5">
      <c r="A18" s="281" t="s">
        <v>457</v>
      </c>
      <c r="B18" s="278">
        <v>1800</v>
      </c>
      <c r="C18" s="278"/>
      <c r="D18" s="278">
        <v>800</v>
      </c>
      <c r="E18" s="278">
        <v>276.02</v>
      </c>
      <c r="F18" s="279">
        <f t="shared" si="0"/>
        <v>0.34502499999999997</v>
      </c>
      <c r="G18" s="277" t="s">
        <v>458</v>
      </c>
    </row>
    <row r="19" spans="1:7" ht="25.5">
      <c r="A19" s="281" t="s">
        <v>459</v>
      </c>
      <c r="B19" s="278">
        <v>8700</v>
      </c>
      <c r="C19" s="278"/>
      <c r="D19" s="278">
        <v>9000</v>
      </c>
      <c r="E19" s="278">
        <v>4320</v>
      </c>
      <c r="F19" s="279">
        <f t="shared" si="0"/>
        <v>0.48</v>
      </c>
      <c r="G19" s="277" t="s">
        <v>460</v>
      </c>
    </row>
    <row r="20" spans="1:7" ht="12.75">
      <c r="A20" s="281" t="s">
        <v>461</v>
      </c>
      <c r="B20" s="278">
        <v>2000</v>
      </c>
      <c r="C20" s="278"/>
      <c r="D20" s="278">
        <v>2200</v>
      </c>
      <c r="E20" s="278">
        <v>793</v>
      </c>
      <c r="F20" s="279">
        <f t="shared" si="0"/>
        <v>0.36045454545454547</v>
      </c>
      <c r="G20" s="277" t="s">
        <v>462</v>
      </c>
    </row>
    <row r="21" spans="1:7" ht="25.5">
      <c r="A21" s="281" t="s">
        <v>463</v>
      </c>
      <c r="B21" s="278">
        <v>4000</v>
      </c>
      <c r="C21" s="278"/>
      <c r="D21" s="278">
        <v>7000</v>
      </c>
      <c r="E21" s="278">
        <f>1323.7+468.48+930.37</f>
        <v>2722.55</v>
      </c>
      <c r="F21" s="279">
        <f t="shared" si="0"/>
        <v>0.38893571428571433</v>
      </c>
      <c r="G21" s="277" t="s">
        <v>970</v>
      </c>
    </row>
    <row r="22" spans="1:7" ht="25.5">
      <c r="A22" s="281" t="s">
        <v>464</v>
      </c>
      <c r="B22" s="278">
        <v>4000</v>
      </c>
      <c r="C22" s="278"/>
      <c r="D22" s="278">
        <v>4000</v>
      </c>
      <c r="E22" s="278">
        <f>300+1000+120.55</f>
        <v>1420.55</v>
      </c>
      <c r="F22" s="279">
        <f t="shared" si="0"/>
        <v>0.3551375</v>
      </c>
      <c r="G22" s="277" t="s">
        <v>971</v>
      </c>
    </row>
    <row r="23" spans="1:7" ht="12.75">
      <c r="A23" s="280" t="s">
        <v>465</v>
      </c>
      <c r="B23" s="274">
        <f>B24+B25</f>
        <v>186000</v>
      </c>
      <c r="C23" s="274"/>
      <c r="D23" s="274">
        <f>D24+D25</f>
        <v>160020</v>
      </c>
      <c r="E23" s="274">
        <f>E24+E25</f>
        <v>74605.9</v>
      </c>
      <c r="F23" s="275">
        <f t="shared" si="0"/>
        <v>0.4662285964254468</v>
      </c>
      <c r="G23" s="276"/>
    </row>
    <row r="24" spans="1:7" ht="38.25">
      <c r="A24" s="281" t="s">
        <v>466</v>
      </c>
      <c r="B24" s="278">
        <v>172000</v>
      </c>
      <c r="C24" s="278"/>
      <c r="D24" s="278">
        <v>145020</v>
      </c>
      <c r="E24" s="278">
        <v>68784.9</v>
      </c>
      <c r="F24" s="279">
        <f t="shared" si="0"/>
        <v>0.4743131981795614</v>
      </c>
      <c r="G24" s="277" t="s">
        <v>972</v>
      </c>
    </row>
    <row r="25" spans="1:10" ht="25.5">
      <c r="A25" s="281" t="s">
        <v>467</v>
      </c>
      <c r="B25" s="278">
        <v>14000</v>
      </c>
      <c r="C25" s="278"/>
      <c r="D25" s="278">
        <v>15000</v>
      </c>
      <c r="E25" s="278">
        <v>5821</v>
      </c>
      <c r="F25" s="279">
        <f t="shared" si="0"/>
        <v>0.38806666666666667</v>
      </c>
      <c r="G25" s="277" t="s">
        <v>468</v>
      </c>
      <c r="J25" s="289"/>
    </row>
    <row r="26" spans="1:7" ht="25.5">
      <c r="A26" s="283" t="s">
        <v>469</v>
      </c>
      <c r="B26" s="284">
        <v>31000</v>
      </c>
      <c r="C26" s="284"/>
      <c r="D26" s="284">
        <v>29500</v>
      </c>
      <c r="E26" s="284">
        <v>12796.37</v>
      </c>
      <c r="F26" s="279">
        <f t="shared" si="0"/>
        <v>0.4337752542372882</v>
      </c>
      <c r="G26" s="285" t="s">
        <v>470</v>
      </c>
    </row>
    <row r="27" spans="1:9" ht="12.75">
      <c r="A27" s="283" t="s">
        <v>471</v>
      </c>
      <c r="B27" s="284">
        <v>3500</v>
      </c>
      <c r="C27" s="284"/>
      <c r="D27" s="284">
        <f>4200-420</f>
        <v>3780</v>
      </c>
      <c r="E27" s="284">
        <v>3780</v>
      </c>
      <c r="F27" s="279">
        <f t="shared" si="0"/>
        <v>1</v>
      </c>
      <c r="G27" s="285" t="s">
        <v>472</v>
      </c>
      <c r="I27" s="289"/>
    </row>
    <row r="28" spans="1:7" ht="25.5">
      <c r="A28" s="286" t="s">
        <v>473</v>
      </c>
      <c r="B28" s="284">
        <v>2200</v>
      </c>
      <c r="C28" s="284"/>
      <c r="D28" s="284">
        <v>3200</v>
      </c>
      <c r="E28" s="284">
        <v>732.93</v>
      </c>
      <c r="F28" s="279">
        <f t="shared" si="0"/>
        <v>0.229040625</v>
      </c>
      <c r="G28" s="277" t="s">
        <v>474</v>
      </c>
    </row>
    <row r="29" spans="1:7" ht="25.5">
      <c r="A29" s="287" t="s">
        <v>475</v>
      </c>
      <c r="B29" s="284">
        <v>1300</v>
      </c>
      <c r="C29" s="284"/>
      <c r="D29" s="284">
        <v>1300</v>
      </c>
      <c r="E29" s="284">
        <v>234</v>
      </c>
      <c r="F29" s="279">
        <f t="shared" si="0"/>
        <v>0.18</v>
      </c>
      <c r="G29" s="277" t="s">
        <v>476</v>
      </c>
    </row>
    <row r="30" spans="1:7" ht="25.5">
      <c r="A30" s="287" t="s">
        <v>477</v>
      </c>
      <c r="B30" s="284">
        <v>2500</v>
      </c>
      <c r="C30" s="284"/>
      <c r="D30" s="284">
        <v>2600</v>
      </c>
      <c r="E30" s="284">
        <v>1809.06</v>
      </c>
      <c r="F30" s="279">
        <f t="shared" si="0"/>
        <v>0.6957923076923077</v>
      </c>
      <c r="G30" s="277" t="s">
        <v>478</v>
      </c>
    </row>
    <row r="31" spans="1:7" ht="25.5">
      <c r="A31" s="287" t="s">
        <v>479</v>
      </c>
      <c r="B31" s="284">
        <v>3000</v>
      </c>
      <c r="C31" s="284"/>
      <c r="D31" s="284">
        <v>2000</v>
      </c>
      <c r="E31" s="284">
        <v>587.44</v>
      </c>
      <c r="F31" s="279">
        <f t="shared" si="0"/>
        <v>0.29372000000000004</v>
      </c>
      <c r="G31" s="277" t="s">
        <v>973</v>
      </c>
    </row>
    <row r="32" spans="1:9" ht="25.5">
      <c r="A32" s="286" t="s">
        <v>480</v>
      </c>
      <c r="B32" s="284"/>
      <c r="C32" s="284"/>
      <c r="D32" s="284"/>
      <c r="E32" s="284"/>
      <c r="F32" s="279"/>
      <c r="G32" s="277" t="s">
        <v>481</v>
      </c>
      <c r="I32" s="289"/>
    </row>
    <row r="33" spans="1:7" ht="12.75">
      <c r="A33" s="286"/>
      <c r="B33" s="284"/>
      <c r="C33" s="284"/>
      <c r="D33" s="284"/>
      <c r="E33" s="284"/>
      <c r="F33" s="279"/>
      <c r="G33" s="277"/>
    </row>
    <row r="34" spans="1:7" ht="12.75">
      <c r="A34" s="280" t="s">
        <v>482</v>
      </c>
      <c r="B34" s="274">
        <f>B32+B31+B30+B29+B28+B27+B26+B23+B15+B10+B9+B4+B13</f>
        <v>324000</v>
      </c>
      <c r="C34" s="274"/>
      <c r="D34" s="274">
        <f>D23+D15+D13+D10+D9+D4+D26+D27+D28+D29+D30+D31+D32</f>
        <v>302100</v>
      </c>
      <c r="E34" s="274">
        <f>E31+E30+E29+E28+E27+E26+E23+E15+E4+E9+E10+E13+E32</f>
        <v>148087.71999999997</v>
      </c>
      <c r="F34" s="275">
        <f t="shared" si="0"/>
        <v>0.4901943727242634</v>
      </c>
      <c r="G34" s="276"/>
    </row>
    <row r="35" spans="1:7" ht="12.75">
      <c r="A35" s="288"/>
      <c r="B35" s="289"/>
      <c r="C35" s="289"/>
      <c r="D35" s="289"/>
      <c r="E35" s="289"/>
      <c r="F35" s="290"/>
      <c r="G35" s="359"/>
    </row>
    <row r="36" spans="1:7" ht="12.75">
      <c r="A36" s="291" t="s">
        <v>483</v>
      </c>
      <c r="B36" s="292"/>
      <c r="C36" s="292"/>
      <c r="D36" s="292"/>
      <c r="E36" s="292"/>
      <c r="F36" s="293"/>
      <c r="G36" s="262" t="s">
        <v>965</v>
      </c>
    </row>
    <row r="37" spans="1:7" ht="25.5">
      <c r="A37" s="360" t="s">
        <v>484</v>
      </c>
      <c r="B37" s="294">
        <v>320000</v>
      </c>
      <c r="C37" s="294"/>
      <c r="D37" s="294">
        <v>295000</v>
      </c>
      <c r="E37" s="294">
        <v>148000</v>
      </c>
      <c r="F37" s="295">
        <f aca="true" t="shared" si="1" ref="F37:F47">E37/D37</f>
        <v>0.5016949152542373</v>
      </c>
      <c r="G37" s="361" t="s">
        <v>974</v>
      </c>
    </row>
    <row r="38" spans="1:7" ht="12.75">
      <c r="A38" s="360" t="s">
        <v>975</v>
      </c>
      <c r="B38" s="294"/>
      <c r="C38" s="294"/>
      <c r="D38" s="294">
        <v>0</v>
      </c>
      <c r="E38" s="294"/>
      <c r="F38" s="295"/>
      <c r="G38" s="361" t="s">
        <v>976</v>
      </c>
    </row>
    <row r="39" spans="1:7" ht="25.5">
      <c r="A39" s="360" t="s">
        <v>962</v>
      </c>
      <c r="B39" s="294"/>
      <c r="C39" s="294"/>
      <c r="D39" s="294">
        <v>3000</v>
      </c>
      <c r="E39" s="294">
        <v>3000</v>
      </c>
      <c r="F39" s="295">
        <f>E39/D39</f>
        <v>1</v>
      </c>
      <c r="G39" s="361" t="s">
        <v>963</v>
      </c>
    </row>
    <row r="40" spans="1:7" ht="12.75">
      <c r="A40" s="362" t="s">
        <v>485</v>
      </c>
      <c r="B40" s="363">
        <f>B41+B42+B43+B44</f>
        <v>4000</v>
      </c>
      <c r="C40" s="363"/>
      <c r="D40" s="363">
        <f>D41+D42+D43+D44</f>
        <v>4000</v>
      </c>
      <c r="E40" s="363">
        <f>E41+E42+E43+E44+E45</f>
        <v>1703.3</v>
      </c>
      <c r="F40" s="295">
        <f t="shared" si="1"/>
        <v>0.425825</v>
      </c>
      <c r="G40" s="361"/>
    </row>
    <row r="41" spans="1:7" ht="12.75">
      <c r="A41" s="364" t="s">
        <v>486</v>
      </c>
      <c r="B41" s="365">
        <v>1500</v>
      </c>
      <c r="C41" s="365"/>
      <c r="D41" s="365">
        <v>1500</v>
      </c>
      <c r="E41" s="365">
        <v>360</v>
      </c>
      <c r="F41" s="295">
        <f t="shared" si="1"/>
        <v>0.24</v>
      </c>
      <c r="G41" s="361" t="s">
        <v>487</v>
      </c>
    </row>
    <row r="42" spans="1:7" ht="12.75">
      <c r="A42" s="364" t="s">
        <v>488</v>
      </c>
      <c r="B42" s="365">
        <v>2000</v>
      </c>
      <c r="C42" s="365"/>
      <c r="D42" s="365">
        <v>2000</v>
      </c>
      <c r="E42" s="365">
        <v>521.9</v>
      </c>
      <c r="F42" s="295">
        <f t="shared" si="1"/>
        <v>0.26095</v>
      </c>
      <c r="G42" s="361" t="s">
        <v>489</v>
      </c>
    </row>
    <row r="43" spans="1:7" ht="12.75">
      <c r="A43" s="364" t="s">
        <v>490</v>
      </c>
      <c r="B43" s="365">
        <v>200</v>
      </c>
      <c r="C43" s="365"/>
      <c r="D43" s="365">
        <v>200</v>
      </c>
      <c r="E43" s="365">
        <v>121.4</v>
      </c>
      <c r="F43" s="295">
        <f t="shared" si="1"/>
        <v>0.607</v>
      </c>
      <c r="G43" s="361" t="s">
        <v>491</v>
      </c>
    </row>
    <row r="44" spans="1:7" ht="12.75">
      <c r="A44" s="364" t="s">
        <v>492</v>
      </c>
      <c r="B44" s="365">
        <v>300</v>
      </c>
      <c r="C44" s="365"/>
      <c r="D44" s="365">
        <v>300</v>
      </c>
      <c r="E44" s="365"/>
      <c r="F44" s="295">
        <f t="shared" si="1"/>
        <v>0</v>
      </c>
      <c r="G44" s="361" t="s">
        <v>977</v>
      </c>
    </row>
    <row r="45" spans="1:7" ht="12.75">
      <c r="A45" s="364" t="s">
        <v>964</v>
      </c>
      <c r="B45" s="365"/>
      <c r="C45" s="365"/>
      <c r="D45" s="365">
        <v>700</v>
      </c>
      <c r="E45" s="365">
        <v>700</v>
      </c>
      <c r="F45" s="295">
        <f t="shared" si="1"/>
        <v>1</v>
      </c>
      <c r="G45" s="361"/>
    </row>
    <row r="46" spans="1:9" ht="24" customHeight="1">
      <c r="A46" s="361" t="s">
        <v>493</v>
      </c>
      <c r="B46" s="296"/>
      <c r="C46" s="296"/>
      <c r="D46" s="296">
        <v>100</v>
      </c>
      <c r="E46" s="294">
        <v>94.36</v>
      </c>
      <c r="F46" s="295">
        <f t="shared" si="1"/>
        <v>0.9436</v>
      </c>
      <c r="G46" s="361" t="s">
        <v>494</v>
      </c>
      <c r="I46" s="289"/>
    </row>
    <row r="47" spans="1:7" ht="12.75">
      <c r="A47" s="366" t="s">
        <v>482</v>
      </c>
      <c r="B47" s="367">
        <f>B40+B37</f>
        <v>324000</v>
      </c>
      <c r="C47" s="367">
        <f>C40+C37</f>
        <v>0</v>
      </c>
      <c r="D47" s="367">
        <f>D46+D40+D38+D37+D39</f>
        <v>302100</v>
      </c>
      <c r="E47" s="367">
        <f>E40+E37+E46+E38+E39</f>
        <v>152797.65999999997</v>
      </c>
      <c r="F47" s="275">
        <f t="shared" si="1"/>
        <v>0.5057850380668651</v>
      </c>
      <c r="G47" s="368"/>
    </row>
    <row r="48" spans="1:6" ht="12.75">
      <c r="A48" s="288"/>
      <c r="B48" s="289"/>
      <c r="C48" s="289"/>
      <c r="D48" s="289"/>
      <c r="E48" s="289"/>
      <c r="F48" s="290"/>
    </row>
    <row r="49" spans="1:9" ht="27" customHeight="1">
      <c r="A49" s="909"/>
      <c r="B49" s="909"/>
      <c r="C49" s="909"/>
      <c r="D49" s="909"/>
      <c r="E49" s="909"/>
      <c r="F49" s="909"/>
      <c r="G49" s="909"/>
      <c r="I49" s="289"/>
    </row>
    <row r="50" spans="1:6" ht="12.75">
      <c r="A50" s="739"/>
      <c r="B50" s="289"/>
      <c r="C50" s="289"/>
      <c r="D50" s="289"/>
      <c r="E50" s="289"/>
      <c r="F50" s="290"/>
    </row>
    <row r="51" spans="1:6" ht="12.75">
      <c r="A51" s="288"/>
      <c r="C51" s="289"/>
      <c r="D51" s="289"/>
      <c r="E51" s="289"/>
      <c r="F51" s="290"/>
    </row>
    <row r="52" spans="1:6" ht="12.75">
      <c r="A52" s="288"/>
      <c r="C52" s="289"/>
      <c r="D52" s="289"/>
      <c r="E52" s="289"/>
      <c r="F52" s="290"/>
    </row>
    <row r="53" spans="1:6" ht="12.75">
      <c r="A53" s="288"/>
      <c r="F53" s="290"/>
    </row>
    <row r="54" spans="1:6" ht="12.75">
      <c r="A54" s="288"/>
      <c r="F54" s="290"/>
    </row>
    <row r="55" spans="1:6" ht="12.75">
      <c r="A55" s="288"/>
      <c r="F55" s="290"/>
    </row>
    <row r="56" spans="1:6" ht="12.75">
      <c r="A56" s="288"/>
      <c r="F56" s="290"/>
    </row>
    <row r="57" spans="1:6" ht="12.75">
      <c r="A57" s="288"/>
      <c r="F57" s="290"/>
    </row>
    <row r="58" spans="1:6" ht="12.75">
      <c r="A58" s="288"/>
      <c r="F58" s="290"/>
    </row>
    <row r="59" spans="1:6" ht="12.75">
      <c r="A59" s="288"/>
      <c r="F59" s="290"/>
    </row>
    <row r="60" spans="1:6" ht="12.75">
      <c r="A60" s="288"/>
      <c r="F60" s="290"/>
    </row>
    <row r="61" spans="1:6" ht="12.75">
      <c r="A61" s="288"/>
      <c r="F61" s="290"/>
    </row>
    <row r="62" spans="1:6" ht="12.75">
      <c r="A62" s="288"/>
      <c r="F62" s="290"/>
    </row>
    <row r="63" ht="12.75">
      <c r="A63" s="288"/>
    </row>
    <row r="64" ht="12.75">
      <c r="A64" s="288"/>
    </row>
    <row r="65" ht="12.75">
      <c r="A65" s="288"/>
    </row>
    <row r="66" ht="12.75">
      <c r="A66" s="288"/>
    </row>
    <row r="67" ht="12.75">
      <c r="A67" s="288"/>
    </row>
    <row r="68" ht="12.75">
      <c r="A68" s="288"/>
    </row>
    <row r="69" ht="12.75">
      <c r="A69" s="288"/>
    </row>
    <row r="70" ht="12.75">
      <c r="A70" s="288"/>
    </row>
    <row r="71" ht="12.75">
      <c r="A71" s="288"/>
    </row>
    <row r="72" ht="12.75">
      <c r="A72" s="288"/>
    </row>
    <row r="73" ht="12.75">
      <c r="A73" s="288"/>
    </row>
    <row r="74" ht="12.75">
      <c r="A74" s="288"/>
    </row>
    <row r="75" ht="12.75">
      <c r="A75" s="288"/>
    </row>
    <row r="76" ht="12.75">
      <c r="A76" s="288"/>
    </row>
    <row r="77" ht="12.75">
      <c r="A77" s="288"/>
    </row>
    <row r="78" ht="12.75">
      <c r="A78" s="288"/>
    </row>
    <row r="79" ht="12.75">
      <c r="A79" s="288"/>
    </row>
    <row r="80" ht="12.75">
      <c r="A80" s="288"/>
    </row>
    <row r="81" ht="12.75">
      <c r="A81" s="288"/>
    </row>
    <row r="82" ht="12.75">
      <c r="A82" s="288"/>
    </row>
    <row r="83" ht="12.75">
      <c r="A83" s="288"/>
    </row>
    <row r="84" ht="12.75">
      <c r="A84" s="288"/>
    </row>
    <row r="85" ht="12.75">
      <c r="A85" s="288"/>
    </row>
    <row r="86" ht="12.75">
      <c r="A86" s="288"/>
    </row>
    <row r="87" ht="12.75">
      <c r="A87" s="288"/>
    </row>
    <row r="88" ht="12.75">
      <c r="A88" s="288"/>
    </row>
    <row r="89" ht="12.75">
      <c r="A89" s="288"/>
    </row>
    <row r="90" ht="12.75">
      <c r="A90" s="288"/>
    </row>
    <row r="91" ht="12.75">
      <c r="A91" s="288"/>
    </row>
    <row r="92" ht="12.75">
      <c r="A92" s="288"/>
    </row>
    <row r="93" ht="12.75">
      <c r="A93" s="288"/>
    </row>
    <row r="94" ht="12.75">
      <c r="A94" s="288"/>
    </row>
    <row r="95" ht="12.75">
      <c r="A95" s="288"/>
    </row>
    <row r="96" ht="12.75">
      <c r="A96" s="288"/>
    </row>
    <row r="97" ht="12.75">
      <c r="A97" s="288"/>
    </row>
    <row r="98" ht="12.75">
      <c r="A98" s="288"/>
    </row>
    <row r="99" ht="12.75">
      <c r="A99" s="288"/>
    </row>
    <row r="100" ht="12.75">
      <c r="A100" s="288"/>
    </row>
    <row r="101" ht="12.75">
      <c r="A101" s="288"/>
    </row>
    <row r="102" ht="12.75">
      <c r="A102" s="288"/>
    </row>
    <row r="103" ht="12.75">
      <c r="A103" s="288"/>
    </row>
    <row r="104" ht="12.75">
      <c r="A104" s="288"/>
    </row>
    <row r="105" ht="12.75">
      <c r="A105" s="288"/>
    </row>
    <row r="106" ht="12.75">
      <c r="A106" s="288"/>
    </row>
    <row r="107" ht="12.75">
      <c r="A107" s="288"/>
    </row>
    <row r="108" ht="12.75">
      <c r="A108" s="288"/>
    </row>
    <row r="109" ht="12.75">
      <c r="A109" s="288"/>
    </row>
    <row r="110" ht="12.75">
      <c r="A110" s="288"/>
    </row>
    <row r="111" ht="12.75">
      <c r="A111" s="288"/>
    </row>
    <row r="112" ht="12.75">
      <c r="A112" s="288"/>
    </row>
    <row r="113" ht="12.75">
      <c r="A113" s="288"/>
    </row>
  </sheetData>
  <mergeCells count="1">
    <mergeCell ref="A49:G49"/>
  </mergeCells>
  <printOptions horizontalCentered="1"/>
  <pageMargins left="0.1968503937007874" right="0.15748031496062992" top="0.31" bottom="0.1968503937007874" header="0.31496062992125984" footer="0.1968503937007874"/>
  <pageSetup fitToHeight="1" fitToWidth="1" horizontalDpi="600" verticalDpi="600" orientation="portrait" paperSize="9" scale="8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28"/>
    <pageSetUpPr fitToPage="1"/>
  </sheetPr>
  <dimension ref="A1:L89"/>
  <sheetViews>
    <sheetView zoomScale="150" zoomScaleNormal="150" workbookViewId="0" topLeftCell="A32">
      <selection activeCell="A1" sqref="A1:L49"/>
    </sheetView>
  </sheetViews>
  <sheetFormatPr defaultColWidth="9.140625" defaultRowHeight="12.75"/>
  <cols>
    <col min="1" max="1" width="39.140625" style="22" customWidth="1"/>
    <col min="2" max="2" width="13.7109375" style="81" hidden="1" customWidth="1"/>
    <col min="3" max="3" width="12.7109375" style="81" hidden="1" customWidth="1"/>
    <col min="4" max="4" width="13.00390625" style="81" hidden="1" customWidth="1"/>
    <col min="5" max="5" width="15.28125" style="81" hidden="1" customWidth="1"/>
    <col min="6" max="6" width="15.28125" style="81" customWidth="1"/>
    <col min="7" max="7" width="15.7109375" style="81" customWidth="1"/>
    <col min="8" max="8" width="8.57421875" style="258" customWidth="1"/>
    <col min="9" max="9" width="42.140625" style="18" customWidth="1"/>
    <col min="10" max="10" width="30.421875" style="18" hidden="1" customWidth="1"/>
    <col min="11" max="11" width="30.421875" style="28" hidden="1" customWidth="1"/>
    <col min="12" max="12" width="30.8515625" style="28" hidden="1" customWidth="1"/>
    <col min="13" max="16384" width="9.140625" style="18" customWidth="1"/>
  </cols>
  <sheetData>
    <row r="1" ht="12.75">
      <c r="I1" s="408" t="s">
        <v>417</v>
      </c>
    </row>
    <row r="2" spans="1:12" ht="13.5" thickBot="1">
      <c r="A2" s="939" t="s">
        <v>1060</v>
      </c>
      <c r="B2" s="939"/>
      <c r="C2" s="939"/>
      <c r="D2" s="939"/>
      <c r="E2" s="939"/>
      <c r="F2" s="939"/>
      <c r="G2" s="939"/>
      <c r="H2" s="939"/>
      <c r="I2" s="939"/>
      <c r="J2" s="939"/>
      <c r="K2" s="939"/>
      <c r="L2" s="939"/>
    </row>
    <row r="3" spans="1:8" ht="13.5" customHeight="1" hidden="1">
      <c r="A3" s="297"/>
      <c r="B3" s="600" t="s">
        <v>495</v>
      </c>
      <c r="C3" s="601"/>
      <c r="D3" s="601"/>
      <c r="E3" s="601"/>
      <c r="F3" s="602"/>
      <c r="G3" s="603" t="s">
        <v>496</v>
      </c>
      <c r="H3" s="604"/>
    </row>
    <row r="4" spans="1:12" s="265" customFormat="1" ht="12" customHeight="1">
      <c r="A4" s="838" t="s">
        <v>262</v>
      </c>
      <c r="B4" s="940" t="s">
        <v>1061</v>
      </c>
      <c r="C4" s="940" t="s">
        <v>1062</v>
      </c>
      <c r="D4" s="941" t="s">
        <v>1063</v>
      </c>
      <c r="E4" s="57" t="s">
        <v>528</v>
      </c>
      <c r="F4" s="941" t="s">
        <v>582</v>
      </c>
      <c r="G4" s="941" t="s">
        <v>1064</v>
      </c>
      <c r="H4" s="942" t="s">
        <v>497</v>
      </c>
      <c r="I4" s="838" t="s">
        <v>796</v>
      </c>
      <c r="J4" s="838" t="s">
        <v>1065</v>
      </c>
      <c r="K4" s="936" t="s">
        <v>1066</v>
      </c>
      <c r="L4" s="936" t="s">
        <v>796</v>
      </c>
    </row>
    <row r="5" spans="1:12" s="635" customFormat="1" ht="13.5" thickBot="1">
      <c r="A5" s="838"/>
      <c r="B5" s="940"/>
      <c r="C5" s="940"/>
      <c r="D5" s="941"/>
      <c r="E5" s="634" t="s">
        <v>1067</v>
      </c>
      <c r="F5" s="941"/>
      <c r="G5" s="941"/>
      <c r="H5" s="943"/>
      <c r="I5" s="903"/>
      <c r="J5" s="838"/>
      <c r="K5" s="937"/>
      <c r="L5" s="937"/>
    </row>
    <row r="6" spans="1:12" ht="22.5" customHeight="1">
      <c r="A6" s="390" t="s">
        <v>529</v>
      </c>
      <c r="B6" s="391">
        <f>SUM(B7:B11)</f>
        <v>27500</v>
      </c>
      <c r="C6" s="391">
        <f>SUM(C7:C11)</f>
        <v>-8000</v>
      </c>
      <c r="D6" s="391">
        <f aca="true" t="shared" si="0" ref="D6:D25">SUM(B6:C6)</f>
        <v>19500</v>
      </c>
      <c r="E6" s="391">
        <f>SUM(E7:E11)</f>
        <v>-1000</v>
      </c>
      <c r="F6" s="391">
        <f>SUM(F7:F11)</f>
        <v>18500</v>
      </c>
      <c r="G6" s="391">
        <f>SUM(G7:G11)</f>
        <v>8472.84</v>
      </c>
      <c r="H6" s="605">
        <f aca="true" t="shared" si="1" ref="H6:H39">G6/F6</f>
        <v>0.4579913513513514</v>
      </c>
      <c r="I6" s="933" t="s">
        <v>859</v>
      </c>
      <c r="J6" s="606"/>
      <c r="K6" s="938"/>
      <c r="L6" s="938"/>
    </row>
    <row r="7" spans="1:12" ht="22.5" customHeight="1">
      <c r="A7" s="607" t="s">
        <v>530</v>
      </c>
      <c r="B7" s="278">
        <v>2000</v>
      </c>
      <c r="C7" s="278"/>
      <c r="D7" s="278">
        <f t="shared" si="0"/>
        <v>2000</v>
      </c>
      <c r="E7" s="278"/>
      <c r="F7" s="278">
        <f aca="true" t="shared" si="2" ref="F7:F14">SUM(D7:E7)</f>
        <v>2000</v>
      </c>
      <c r="G7" s="278">
        <f>'[3]4'!$M$245</f>
        <v>804.46</v>
      </c>
      <c r="H7" s="608">
        <f t="shared" si="1"/>
        <v>0.40223000000000003</v>
      </c>
      <c r="I7" s="934"/>
      <c r="J7" s="606"/>
      <c r="K7" s="931"/>
      <c r="L7" s="931"/>
    </row>
    <row r="8" spans="1:12" ht="22.5" customHeight="1">
      <c r="A8" s="609" t="s">
        <v>531</v>
      </c>
      <c r="B8" s="296">
        <v>15000</v>
      </c>
      <c r="C8" s="296">
        <v>-7000</v>
      </c>
      <c r="D8" s="278">
        <f t="shared" si="0"/>
        <v>8000</v>
      </c>
      <c r="E8" s="278">
        <v>-2000</v>
      </c>
      <c r="F8" s="278">
        <f t="shared" si="2"/>
        <v>6000</v>
      </c>
      <c r="G8" s="296">
        <f>'[3]4'!$O$245+'[3]4'!$W$245</f>
        <v>1902.33</v>
      </c>
      <c r="H8" s="608">
        <f t="shared" si="1"/>
        <v>0.317055</v>
      </c>
      <c r="I8" s="934"/>
      <c r="J8" s="585"/>
      <c r="K8" s="931"/>
      <c r="L8" s="931"/>
    </row>
    <row r="9" spans="1:12" ht="22.5" customHeight="1">
      <c r="A9" s="607" t="s">
        <v>532</v>
      </c>
      <c r="B9" s="296">
        <v>1000</v>
      </c>
      <c r="C9" s="296"/>
      <c r="D9" s="278">
        <f t="shared" si="0"/>
        <v>1000</v>
      </c>
      <c r="E9" s="278"/>
      <c r="F9" s="278">
        <f t="shared" si="2"/>
        <v>1000</v>
      </c>
      <c r="G9" s="296">
        <f>'[3]4'!$Q$245</f>
        <v>366.9</v>
      </c>
      <c r="H9" s="608">
        <f t="shared" si="1"/>
        <v>0.3669</v>
      </c>
      <c r="I9" s="934"/>
      <c r="J9" s="606"/>
      <c r="K9" s="931"/>
      <c r="L9" s="931"/>
    </row>
    <row r="10" spans="1:12" ht="22.5" customHeight="1">
      <c r="A10" s="607" t="s">
        <v>124</v>
      </c>
      <c r="B10" s="296">
        <v>3000</v>
      </c>
      <c r="C10" s="296">
        <v>-1000</v>
      </c>
      <c r="D10" s="278">
        <f t="shared" si="0"/>
        <v>2000</v>
      </c>
      <c r="E10" s="278"/>
      <c r="F10" s="278">
        <f t="shared" si="2"/>
        <v>2000</v>
      </c>
      <c r="G10" s="296">
        <v>0</v>
      </c>
      <c r="H10" s="608">
        <f t="shared" si="1"/>
        <v>0</v>
      </c>
      <c r="I10" s="934"/>
      <c r="J10" s="606"/>
      <c r="K10" s="931"/>
      <c r="L10" s="931"/>
    </row>
    <row r="11" spans="1:12" ht="22.5" customHeight="1">
      <c r="A11" s="607" t="s">
        <v>533</v>
      </c>
      <c r="B11" s="296">
        <v>6500</v>
      </c>
      <c r="C11" s="296"/>
      <c r="D11" s="278">
        <f t="shared" si="0"/>
        <v>6500</v>
      </c>
      <c r="E11" s="278">
        <v>1000</v>
      </c>
      <c r="F11" s="278">
        <f t="shared" si="2"/>
        <v>7500</v>
      </c>
      <c r="G11" s="296">
        <f>'[3]4'!$U$245+'[3]4'!$Y$245+'[3]4'!$AC$245+'[3]4'!$CY$245</f>
        <v>5399.15</v>
      </c>
      <c r="H11" s="608">
        <f t="shared" si="1"/>
        <v>0.7198866666666666</v>
      </c>
      <c r="I11" s="935"/>
      <c r="J11" s="606"/>
      <c r="K11" s="932"/>
      <c r="L11" s="932"/>
    </row>
    <row r="12" spans="1:12" ht="12.75">
      <c r="A12" s="390" t="s">
        <v>534</v>
      </c>
      <c r="B12" s="391">
        <v>27000</v>
      </c>
      <c r="C12" s="391">
        <v>-14345</v>
      </c>
      <c r="D12" s="391">
        <f t="shared" si="0"/>
        <v>12655</v>
      </c>
      <c r="E12" s="391">
        <v>10785</v>
      </c>
      <c r="F12" s="391">
        <f t="shared" si="2"/>
        <v>23440</v>
      </c>
      <c r="G12" s="391">
        <f>'[3]4'!$AG$245</f>
        <v>17677.03</v>
      </c>
      <c r="H12" s="610">
        <f t="shared" si="1"/>
        <v>0.7541395051194538</v>
      </c>
      <c r="I12" s="42"/>
      <c r="J12" s="606"/>
      <c r="K12" s="611"/>
      <c r="L12" s="611"/>
    </row>
    <row r="13" spans="1:12" ht="12.75">
      <c r="A13" s="390" t="s">
        <v>535</v>
      </c>
      <c r="B13" s="391">
        <v>2000</v>
      </c>
      <c r="C13" s="391"/>
      <c r="D13" s="391">
        <f t="shared" si="0"/>
        <v>2000</v>
      </c>
      <c r="E13" s="391"/>
      <c r="F13" s="391">
        <f t="shared" si="2"/>
        <v>2000</v>
      </c>
      <c r="G13" s="391">
        <f>'[3]4'!$AI$245</f>
        <v>520.14</v>
      </c>
      <c r="H13" s="610">
        <f t="shared" si="1"/>
        <v>0.26006999999999997</v>
      </c>
      <c r="I13" s="42"/>
      <c r="J13" s="606"/>
      <c r="K13" s="611"/>
      <c r="L13" s="611"/>
    </row>
    <row r="14" spans="1:12" ht="12.75">
      <c r="A14" s="390" t="s">
        <v>1141</v>
      </c>
      <c r="B14" s="391">
        <v>700</v>
      </c>
      <c r="C14" s="391">
        <v>-200</v>
      </c>
      <c r="D14" s="391">
        <f t="shared" si="0"/>
        <v>500</v>
      </c>
      <c r="E14" s="391"/>
      <c r="F14" s="391">
        <f t="shared" si="2"/>
        <v>500</v>
      </c>
      <c r="G14" s="391">
        <f>'[3]4'!$AK$245</f>
        <v>222</v>
      </c>
      <c r="H14" s="610">
        <f t="shared" si="1"/>
        <v>0.444</v>
      </c>
      <c r="I14" s="42"/>
      <c r="J14" s="606"/>
      <c r="K14" s="611"/>
      <c r="L14" s="611"/>
    </row>
    <row r="15" spans="1:12" ht="12.75">
      <c r="A15" s="390" t="s">
        <v>278</v>
      </c>
      <c r="B15" s="391">
        <f>SUM(B16:B25)</f>
        <v>47800</v>
      </c>
      <c r="C15" s="391">
        <f>SUM(C16:C25)</f>
        <v>-21600</v>
      </c>
      <c r="D15" s="391">
        <f t="shared" si="0"/>
        <v>26200</v>
      </c>
      <c r="E15" s="391">
        <f>SUM(E16:E25)</f>
        <v>3600</v>
      </c>
      <c r="F15" s="391">
        <f>SUM(F16:F25)</f>
        <v>29800</v>
      </c>
      <c r="G15" s="391">
        <f>SUM(G16:G25)</f>
        <v>16873.55</v>
      </c>
      <c r="H15" s="610">
        <f t="shared" si="1"/>
        <v>0.5662265100671141</v>
      </c>
      <c r="I15" s="933" t="s">
        <v>860</v>
      </c>
      <c r="J15" s="606"/>
      <c r="K15" s="930"/>
      <c r="L15" s="930"/>
    </row>
    <row r="16" spans="1:12" ht="18.75" customHeight="1">
      <c r="A16" s="607" t="s">
        <v>536</v>
      </c>
      <c r="B16" s="296">
        <v>5000</v>
      </c>
      <c r="C16" s="296">
        <v>-2000</v>
      </c>
      <c r="D16" s="296">
        <f t="shared" si="0"/>
        <v>3000</v>
      </c>
      <c r="E16" s="296">
        <v>1500</v>
      </c>
      <c r="F16" s="278">
        <f aca="true" t="shared" si="3" ref="F16:F25">SUM(D16:E16)</f>
        <v>4500</v>
      </c>
      <c r="G16" s="296">
        <f>'[3]4'!$AM$245</f>
        <v>2878.08</v>
      </c>
      <c r="H16" s="608">
        <f t="shared" si="1"/>
        <v>0.6395733333333333</v>
      </c>
      <c r="I16" s="934"/>
      <c r="J16" s="606"/>
      <c r="K16" s="931"/>
      <c r="L16" s="931"/>
    </row>
    <row r="17" spans="1:12" ht="18.75" customHeight="1">
      <c r="A17" s="609" t="s">
        <v>985</v>
      </c>
      <c r="B17" s="296">
        <v>15000</v>
      </c>
      <c r="C17" s="296">
        <v>-10000</v>
      </c>
      <c r="D17" s="296">
        <f t="shared" si="0"/>
        <v>5000</v>
      </c>
      <c r="E17" s="296">
        <v>-2000</v>
      </c>
      <c r="F17" s="278">
        <f t="shared" si="3"/>
        <v>3000</v>
      </c>
      <c r="G17" s="296">
        <f>'[3]4'!$AO$245</f>
        <v>593.32</v>
      </c>
      <c r="H17" s="608">
        <f t="shared" si="1"/>
        <v>0.19777333333333336</v>
      </c>
      <c r="I17" s="934"/>
      <c r="J17" s="585"/>
      <c r="K17" s="931"/>
      <c r="L17" s="931"/>
    </row>
    <row r="18" spans="1:12" ht="18.75" customHeight="1">
      <c r="A18" s="607" t="s">
        <v>557</v>
      </c>
      <c r="B18" s="296">
        <v>3000</v>
      </c>
      <c r="C18" s="296"/>
      <c r="D18" s="296">
        <f t="shared" si="0"/>
        <v>3000</v>
      </c>
      <c r="E18" s="296">
        <v>-500</v>
      </c>
      <c r="F18" s="278">
        <f t="shared" si="3"/>
        <v>2500</v>
      </c>
      <c r="G18" s="296">
        <f>'[3]4'!$BI$245</f>
        <v>970.48</v>
      </c>
      <c r="H18" s="608">
        <f t="shared" si="1"/>
        <v>0.388192</v>
      </c>
      <c r="I18" s="934"/>
      <c r="J18" s="606"/>
      <c r="K18" s="931"/>
      <c r="L18" s="931"/>
    </row>
    <row r="19" spans="1:12" ht="18.75" customHeight="1">
      <c r="A19" s="607" t="s">
        <v>558</v>
      </c>
      <c r="B19" s="296">
        <v>2400</v>
      </c>
      <c r="C19" s="296"/>
      <c r="D19" s="296">
        <f t="shared" si="0"/>
        <v>2400</v>
      </c>
      <c r="E19" s="296"/>
      <c r="F19" s="278">
        <f t="shared" si="3"/>
        <v>2400</v>
      </c>
      <c r="G19" s="296">
        <f>'[3]4'!$BU$245</f>
        <v>1200</v>
      </c>
      <c r="H19" s="608">
        <f t="shared" si="1"/>
        <v>0.5</v>
      </c>
      <c r="I19" s="934"/>
      <c r="J19" s="606"/>
      <c r="K19" s="931"/>
      <c r="L19" s="931"/>
    </row>
    <row r="20" spans="1:12" ht="18.75" customHeight="1">
      <c r="A20" s="607" t="s">
        <v>559</v>
      </c>
      <c r="B20" s="296">
        <v>3300</v>
      </c>
      <c r="C20" s="296"/>
      <c r="D20" s="296">
        <f t="shared" si="0"/>
        <v>3300</v>
      </c>
      <c r="E20" s="296">
        <v>-100</v>
      </c>
      <c r="F20" s="278">
        <f t="shared" si="3"/>
        <v>3200</v>
      </c>
      <c r="G20" s="296">
        <f>'[3]4'!$BO$245</f>
        <v>1571.94</v>
      </c>
      <c r="H20" s="608">
        <f t="shared" si="1"/>
        <v>0.49123125</v>
      </c>
      <c r="I20" s="934"/>
      <c r="J20" s="606"/>
      <c r="K20" s="931"/>
      <c r="L20" s="931"/>
    </row>
    <row r="21" spans="1:12" ht="18.75" customHeight="1">
      <c r="A21" s="607" t="s">
        <v>560</v>
      </c>
      <c r="B21" s="296">
        <v>400</v>
      </c>
      <c r="C21" s="296"/>
      <c r="D21" s="296">
        <f t="shared" si="0"/>
        <v>400</v>
      </c>
      <c r="E21" s="296">
        <v>-100</v>
      </c>
      <c r="F21" s="278">
        <f t="shared" si="3"/>
        <v>300</v>
      </c>
      <c r="G21" s="296">
        <f>'[3]4'!$BQ$245</f>
        <v>113.28</v>
      </c>
      <c r="H21" s="608">
        <f t="shared" si="1"/>
        <v>0.3776</v>
      </c>
      <c r="I21" s="934"/>
      <c r="J21" s="606"/>
      <c r="K21" s="931"/>
      <c r="L21" s="931"/>
    </row>
    <row r="22" spans="1:12" ht="18.75" customHeight="1">
      <c r="A22" s="607" t="s">
        <v>561</v>
      </c>
      <c r="B22" s="296">
        <v>1500</v>
      </c>
      <c r="C22" s="296">
        <v>-500</v>
      </c>
      <c r="D22" s="296">
        <f t="shared" si="0"/>
        <v>1000</v>
      </c>
      <c r="E22" s="296"/>
      <c r="F22" s="278">
        <f t="shared" si="3"/>
        <v>1000</v>
      </c>
      <c r="G22" s="296">
        <f>'[3]4'!$BS$245</f>
        <v>499.96</v>
      </c>
      <c r="H22" s="608">
        <f t="shared" si="1"/>
        <v>0.49995999999999996</v>
      </c>
      <c r="I22" s="934"/>
      <c r="J22" s="606"/>
      <c r="K22" s="931"/>
      <c r="L22" s="931"/>
    </row>
    <row r="23" spans="1:12" ht="27.75" customHeight="1">
      <c r="A23" s="607" t="s">
        <v>861</v>
      </c>
      <c r="B23" s="278">
        <v>13500</v>
      </c>
      <c r="C23" s="296">
        <v>-7000</v>
      </c>
      <c r="D23" s="296">
        <f t="shared" si="0"/>
        <v>6500</v>
      </c>
      <c r="E23" s="296">
        <v>3500</v>
      </c>
      <c r="F23" s="278">
        <f t="shared" si="3"/>
        <v>10000</v>
      </c>
      <c r="G23" s="296">
        <f>'[3]4'!$BY$245</f>
        <v>6820</v>
      </c>
      <c r="H23" s="608">
        <f t="shared" si="1"/>
        <v>0.682</v>
      </c>
      <c r="I23" s="934"/>
      <c r="J23" s="606"/>
      <c r="K23" s="931"/>
      <c r="L23" s="931"/>
    </row>
    <row r="24" spans="1:12" ht="21" customHeight="1">
      <c r="A24" s="607" t="s">
        <v>385</v>
      </c>
      <c r="B24" s="296">
        <v>700</v>
      </c>
      <c r="C24" s="296">
        <v>-100</v>
      </c>
      <c r="D24" s="296">
        <f t="shared" si="0"/>
        <v>600</v>
      </c>
      <c r="E24" s="296">
        <v>-200</v>
      </c>
      <c r="F24" s="278">
        <f t="shared" si="3"/>
        <v>400</v>
      </c>
      <c r="G24" s="296">
        <f>'[3]4'!$DK$245</f>
        <v>195.5</v>
      </c>
      <c r="H24" s="608">
        <f t="shared" si="1"/>
        <v>0.48875</v>
      </c>
      <c r="I24" s="934"/>
      <c r="J24" s="606"/>
      <c r="K24" s="931"/>
      <c r="L24" s="931"/>
    </row>
    <row r="25" spans="1:12" ht="21" customHeight="1">
      <c r="A25" s="607" t="s">
        <v>386</v>
      </c>
      <c r="B25" s="296">
        <v>3000</v>
      </c>
      <c r="C25" s="296">
        <v>-2000</v>
      </c>
      <c r="D25" s="296">
        <f t="shared" si="0"/>
        <v>1000</v>
      </c>
      <c r="E25" s="296">
        <v>1500</v>
      </c>
      <c r="F25" s="278">
        <f t="shared" si="3"/>
        <v>2500</v>
      </c>
      <c r="G25" s="296">
        <f>'[3]4'!$BK$245+'[3]4'!$BM$245+'[3]4'!$CA$245</f>
        <v>2030.99</v>
      </c>
      <c r="H25" s="608">
        <f t="shared" si="1"/>
        <v>0.812396</v>
      </c>
      <c r="I25" s="935"/>
      <c r="J25" s="606"/>
      <c r="K25" s="932"/>
      <c r="L25" s="932"/>
    </row>
    <row r="26" spans="1:12" ht="17.25" customHeight="1">
      <c r="A26" s="390" t="s">
        <v>387</v>
      </c>
      <c r="B26" s="391">
        <f aca="true" t="shared" si="4" ref="B26:G26">SUM(B27:B30)</f>
        <v>159300</v>
      </c>
      <c r="C26" s="391">
        <f t="shared" si="4"/>
        <v>-12300</v>
      </c>
      <c r="D26" s="391">
        <f t="shared" si="4"/>
        <v>147000</v>
      </c>
      <c r="E26" s="391">
        <f t="shared" si="4"/>
        <v>6400</v>
      </c>
      <c r="F26" s="391">
        <f t="shared" si="4"/>
        <v>153400</v>
      </c>
      <c r="G26" s="391">
        <f t="shared" si="4"/>
        <v>77943.06</v>
      </c>
      <c r="H26" s="610">
        <f t="shared" si="1"/>
        <v>0.5081033898305085</v>
      </c>
      <c r="I26" s="933" t="s">
        <v>862</v>
      </c>
      <c r="J26" s="606"/>
      <c r="K26" s="930"/>
      <c r="L26" s="930"/>
    </row>
    <row r="27" spans="1:12" ht="25.5">
      <c r="A27" s="607" t="s">
        <v>863</v>
      </c>
      <c r="B27" s="296">
        <v>97400</v>
      </c>
      <c r="C27" s="296">
        <v>8100</v>
      </c>
      <c r="D27" s="296">
        <f>SUM(B27:C27)</f>
        <v>105500</v>
      </c>
      <c r="E27" s="296">
        <v>6000</v>
      </c>
      <c r="F27" s="278">
        <f aca="true" t="shared" si="5" ref="F27:F32">SUM(D27:E27)</f>
        <v>111500</v>
      </c>
      <c r="G27" s="296">
        <f>'[3]4'!$CE$245</f>
        <v>56652.22</v>
      </c>
      <c r="H27" s="608">
        <f t="shared" si="1"/>
        <v>0.5080916591928252</v>
      </c>
      <c r="I27" s="934"/>
      <c r="J27" s="606"/>
      <c r="K27" s="931"/>
      <c r="L27" s="931"/>
    </row>
    <row r="28" spans="1:12" ht="25.5">
      <c r="A28" s="607" t="s">
        <v>125</v>
      </c>
      <c r="B28" s="296">
        <v>19500</v>
      </c>
      <c r="C28" s="296">
        <v>-400</v>
      </c>
      <c r="D28" s="296">
        <f>SUM(B28:C28)</f>
        <v>19100</v>
      </c>
      <c r="E28" s="296">
        <v>1400</v>
      </c>
      <c r="F28" s="278">
        <f t="shared" si="5"/>
        <v>20500</v>
      </c>
      <c r="G28" s="296">
        <f>'[3]4'!$CM$245-G30</f>
        <v>10405.810000000001</v>
      </c>
      <c r="H28" s="608">
        <f t="shared" si="1"/>
        <v>0.5076004878048781</v>
      </c>
      <c r="I28" s="934"/>
      <c r="J28" s="606"/>
      <c r="K28" s="931"/>
      <c r="L28" s="931"/>
    </row>
    <row r="29" spans="1:12" ht="33" customHeight="1">
      <c r="A29" s="607" t="s">
        <v>127</v>
      </c>
      <c r="B29" s="296">
        <v>39400</v>
      </c>
      <c r="C29" s="296">
        <v>-18000</v>
      </c>
      <c r="D29" s="296">
        <f>SUM(B29:C29)</f>
        <v>21400</v>
      </c>
      <c r="E29" s="296">
        <v>-500</v>
      </c>
      <c r="F29" s="278">
        <f t="shared" si="5"/>
        <v>20900</v>
      </c>
      <c r="G29" s="296">
        <f>'[3]4'!$CG$245+'[3]4'!$CI$245+'[3]4'!$CK$245</f>
        <v>10716.4</v>
      </c>
      <c r="H29" s="608">
        <f t="shared" si="1"/>
        <v>0.5127464114832536</v>
      </c>
      <c r="I29" s="934"/>
      <c r="J29" s="585"/>
      <c r="K29" s="931"/>
      <c r="L29" s="931"/>
    </row>
    <row r="30" spans="1:12" ht="25.5">
      <c r="A30" s="607" t="s">
        <v>126</v>
      </c>
      <c r="B30" s="296">
        <v>3000</v>
      </c>
      <c r="C30" s="296">
        <v>-2000</v>
      </c>
      <c r="D30" s="296">
        <f>SUM(B30:C30)</f>
        <v>1000</v>
      </c>
      <c r="E30" s="296">
        <v>-500</v>
      </c>
      <c r="F30" s="278">
        <f t="shared" si="5"/>
        <v>500</v>
      </c>
      <c r="G30" s="296">
        <v>168.63</v>
      </c>
      <c r="H30" s="608">
        <f t="shared" si="1"/>
        <v>0.33726</v>
      </c>
      <c r="I30" s="935"/>
      <c r="J30" s="606"/>
      <c r="K30" s="932"/>
      <c r="L30" s="932"/>
    </row>
    <row r="31" spans="1:12" ht="12.75">
      <c r="A31" s="390" t="s">
        <v>388</v>
      </c>
      <c r="B31" s="391">
        <v>2600</v>
      </c>
      <c r="C31" s="391">
        <v>347</v>
      </c>
      <c r="D31" s="391">
        <f>SUM(B31:C31)</f>
        <v>2947</v>
      </c>
      <c r="E31" s="391">
        <v>2</v>
      </c>
      <c r="F31" s="391">
        <f t="shared" si="5"/>
        <v>2949</v>
      </c>
      <c r="G31" s="391">
        <f>'[3]4'!$CW$245</f>
        <v>2948.98</v>
      </c>
      <c r="H31" s="610">
        <f t="shared" si="1"/>
        <v>0.9999932180400136</v>
      </c>
      <c r="I31" s="595"/>
      <c r="J31" s="595"/>
      <c r="K31" s="611"/>
      <c r="L31" s="611"/>
    </row>
    <row r="32" spans="1:12" ht="12.75">
      <c r="A32" s="390" t="s">
        <v>1142</v>
      </c>
      <c r="B32" s="391"/>
      <c r="C32" s="391"/>
      <c r="D32" s="391"/>
      <c r="E32" s="391">
        <v>200</v>
      </c>
      <c r="F32" s="391">
        <f t="shared" si="5"/>
        <v>200</v>
      </c>
      <c r="G32" s="391">
        <f>'[3]4'!$DI$245</f>
        <v>198.67</v>
      </c>
      <c r="H32" s="610">
        <f t="shared" si="1"/>
        <v>0.99335</v>
      </c>
      <c r="I32" s="612" t="s">
        <v>864</v>
      </c>
      <c r="J32" s="595"/>
      <c r="K32" s="611"/>
      <c r="L32" s="613"/>
    </row>
    <row r="33" spans="1:12" ht="12.75">
      <c r="A33" s="390" t="s">
        <v>477</v>
      </c>
      <c r="B33" s="391">
        <f aca="true" t="shared" si="6" ref="B33:G33">SUM(B34:B35)</f>
        <v>4100</v>
      </c>
      <c r="C33" s="391">
        <f t="shared" si="6"/>
        <v>0</v>
      </c>
      <c r="D33" s="391">
        <f t="shared" si="6"/>
        <v>4100</v>
      </c>
      <c r="E33" s="391">
        <f t="shared" si="6"/>
        <v>200</v>
      </c>
      <c r="F33" s="391">
        <f t="shared" si="6"/>
        <v>4300</v>
      </c>
      <c r="G33" s="391">
        <f t="shared" si="6"/>
        <v>2119.92</v>
      </c>
      <c r="H33" s="610">
        <f t="shared" si="1"/>
        <v>0.49300465116279074</v>
      </c>
      <c r="I33" s="595"/>
      <c r="J33" s="595"/>
      <c r="K33" s="611"/>
      <c r="L33" s="611"/>
    </row>
    <row r="34" spans="1:12" ht="12.75">
      <c r="A34" s="607" t="s">
        <v>389</v>
      </c>
      <c r="B34" s="296">
        <v>700</v>
      </c>
      <c r="C34" s="296">
        <v>-300</v>
      </c>
      <c r="D34" s="296">
        <f>SUM(B34:C34)</f>
        <v>400</v>
      </c>
      <c r="E34" s="296"/>
      <c r="F34" s="278">
        <f>SUM(D34:E34)</f>
        <v>400</v>
      </c>
      <c r="G34" s="296">
        <f>'[3]4'!$DO$245</f>
        <v>175.53</v>
      </c>
      <c r="H34" s="608">
        <f t="shared" si="1"/>
        <v>0.438825</v>
      </c>
      <c r="I34" s="595"/>
      <c r="J34" s="595"/>
      <c r="K34" s="611"/>
      <c r="L34" s="611"/>
    </row>
    <row r="35" spans="1:12" ht="12.75">
      <c r="A35" s="607" t="s">
        <v>390</v>
      </c>
      <c r="B35" s="296">
        <v>3400</v>
      </c>
      <c r="C35" s="296">
        <v>300</v>
      </c>
      <c r="D35" s="296">
        <f>SUM(B35:C35)</f>
        <v>3700</v>
      </c>
      <c r="E35" s="296">
        <v>200</v>
      </c>
      <c r="F35" s="278">
        <f>SUM(D35:E35)</f>
        <v>3900</v>
      </c>
      <c r="G35" s="296">
        <f>'[3]4'!$DQ$245</f>
        <v>1944.39</v>
      </c>
      <c r="H35" s="608">
        <f t="shared" si="1"/>
        <v>0.4985615384615385</v>
      </c>
      <c r="I35" s="595"/>
      <c r="J35" s="595"/>
      <c r="K35" s="611"/>
      <c r="L35" s="611"/>
    </row>
    <row r="36" spans="1:12" ht="12.75">
      <c r="A36" s="390" t="s">
        <v>391</v>
      </c>
      <c r="B36" s="391">
        <v>1200</v>
      </c>
      <c r="C36" s="391">
        <v>-802</v>
      </c>
      <c r="D36" s="391">
        <f>SUM(B36:C36)</f>
        <v>398</v>
      </c>
      <c r="E36" s="391">
        <v>3</v>
      </c>
      <c r="F36" s="391">
        <f>SUM(D36:E36)</f>
        <v>401</v>
      </c>
      <c r="G36" s="391">
        <f>'[3]4'!$DU$245</f>
        <v>199</v>
      </c>
      <c r="H36" s="610">
        <f t="shared" si="1"/>
        <v>0.49625935162094764</v>
      </c>
      <c r="I36" s="595"/>
      <c r="J36" s="595"/>
      <c r="K36" s="614"/>
      <c r="L36" s="614"/>
    </row>
    <row r="37" spans="1:12" ht="64.5" thickBot="1">
      <c r="A37" s="390" t="s">
        <v>865</v>
      </c>
      <c r="B37" s="391"/>
      <c r="C37" s="391"/>
      <c r="D37" s="391">
        <f>SUM(B37:C37)</f>
        <v>0</v>
      </c>
      <c r="E37" s="391">
        <v>16310</v>
      </c>
      <c r="F37" s="391">
        <f>SUM(D37:E37)</f>
        <v>16310</v>
      </c>
      <c r="G37" s="391">
        <f>'[3]016'!$H$19-'[3]016'!$H$6</f>
        <v>16305.240000000005</v>
      </c>
      <c r="H37" s="610">
        <f t="shared" si="1"/>
        <v>0.9997081545064381</v>
      </c>
      <c r="I37" s="200" t="s">
        <v>866</v>
      </c>
      <c r="J37" s="595"/>
      <c r="K37" s="614"/>
      <c r="L37" s="614"/>
    </row>
    <row r="38" spans="1:12" ht="26.25" hidden="1" thickBot="1">
      <c r="A38" s="390" t="s">
        <v>867</v>
      </c>
      <c r="B38" s="391"/>
      <c r="C38" s="391"/>
      <c r="D38" s="391">
        <f>SUM(B38:C38)</f>
        <v>0</v>
      </c>
      <c r="E38" s="391"/>
      <c r="F38" s="391">
        <f>SUM(D38:E38)</f>
        <v>0</v>
      </c>
      <c r="G38" s="391"/>
      <c r="H38" s="610" t="e">
        <f t="shared" si="1"/>
        <v>#DIV/0!</v>
      </c>
      <c r="I38" s="595"/>
      <c r="J38" s="595"/>
      <c r="K38" s="614"/>
      <c r="L38" s="614"/>
    </row>
    <row r="39" spans="1:12" ht="18" customHeight="1" thickBot="1">
      <c r="A39" s="636" t="s">
        <v>392</v>
      </c>
      <c r="B39" s="637">
        <f>B38+B33+B31+B26+B15+B14+B12+B6+B13+B32+B36</f>
        <v>272200</v>
      </c>
      <c r="C39" s="637">
        <f>C38+C33+C31+C26+C15+C14+C12+C6+C13+C32+C36</f>
        <v>-56900</v>
      </c>
      <c r="D39" s="637">
        <f>D38+D33+D31+D26+D15+D14+D12+D6+D13+D32+D36</f>
        <v>215300</v>
      </c>
      <c r="E39" s="637">
        <f>E38+E33+E31+E26+E15+E14+E12+E6+E13+E32+E36+E37</f>
        <v>36500</v>
      </c>
      <c r="F39" s="637">
        <f>F38+F33+F31+F26+F15+F14+F12+F6+F13+F32+F36+F37</f>
        <v>251800</v>
      </c>
      <c r="G39" s="637">
        <f>G38+G33+G31+G26+G15+G14+G12+G6+G13+G32+G36+G37</f>
        <v>143480.43</v>
      </c>
      <c r="H39" s="638">
        <f t="shared" si="1"/>
        <v>0.5698190230341541</v>
      </c>
      <c r="I39" s="596"/>
      <c r="J39" s="596"/>
      <c r="K39" s="639"/>
      <c r="L39" s="639"/>
    </row>
    <row r="40" spans="1:8" ht="13.5" thickBot="1">
      <c r="A40" s="640"/>
      <c r="B40" s="301"/>
      <c r="C40" s="301"/>
      <c r="D40" s="301"/>
      <c r="E40" s="301"/>
      <c r="F40" s="301"/>
      <c r="G40" s="301"/>
      <c r="H40" s="302"/>
    </row>
    <row r="41" spans="1:12" ht="12.75" customHeight="1" thickBot="1">
      <c r="A41" s="926" t="s">
        <v>483</v>
      </c>
      <c r="B41" s="928" t="str">
        <f aca="true" t="shared" si="7" ref="B41:H41">B4</f>
        <v>Projekt planu na 2008 r.                                </v>
      </c>
      <c r="C41" s="913" t="str">
        <f t="shared" si="7"/>
        <v>Korekta 1                                 z dnia 3.12.2007 r.</v>
      </c>
      <c r="D41" s="915" t="str">
        <f t="shared" si="7"/>
        <v>Plan na                2008 rok </v>
      </c>
      <c r="E41" s="615" t="str">
        <f t="shared" si="7"/>
        <v>Zmiana nr 1</v>
      </c>
      <c r="F41" s="923" t="str">
        <f t="shared" si="7"/>
        <v>Plan po zmianach</v>
      </c>
      <c r="G41" s="915" t="str">
        <f t="shared" si="7"/>
        <v>Wykonanie planu na dzień 30.06.2008 r.</v>
      </c>
      <c r="H41" s="924" t="str">
        <f t="shared" si="7"/>
        <v>% </v>
      </c>
      <c r="I41" s="919"/>
      <c r="J41" s="919"/>
      <c r="K41" s="921"/>
      <c r="L41" s="921"/>
    </row>
    <row r="42" spans="1:12" s="303" customFormat="1" ht="23.25" customHeight="1" thickBot="1">
      <c r="A42" s="927"/>
      <c r="B42" s="929"/>
      <c r="C42" s="914"/>
      <c r="D42" s="916"/>
      <c r="E42" s="641" t="str">
        <f>E5</f>
        <v>27-6-2008</v>
      </c>
      <c r="F42" s="923"/>
      <c r="G42" s="916"/>
      <c r="H42" s="925"/>
      <c r="I42" s="920"/>
      <c r="J42" s="920"/>
      <c r="K42" s="922"/>
      <c r="L42" s="922"/>
    </row>
    <row r="43" spans="1:12" ht="15" customHeight="1">
      <c r="A43" s="304" t="s">
        <v>484</v>
      </c>
      <c r="B43" s="305">
        <v>253200</v>
      </c>
      <c r="C43" s="306">
        <v>-60000</v>
      </c>
      <c r="D43" s="305">
        <f>SUM(B43:C43)</f>
        <v>193200</v>
      </c>
      <c r="E43" s="310">
        <v>35000</v>
      </c>
      <c r="F43" s="307">
        <f>SUM(D43:E43)</f>
        <v>228200</v>
      </c>
      <c r="G43" s="307">
        <f>'[3]KS'!$AV$81</f>
        <v>128200</v>
      </c>
      <c r="H43" s="309">
        <f>G43/F43</f>
        <v>0.5617879053461875</v>
      </c>
      <c r="I43" s="616"/>
      <c r="J43" s="616"/>
      <c r="K43" s="617"/>
      <c r="L43" s="617"/>
    </row>
    <row r="44" spans="1:12" ht="15.75" customHeight="1">
      <c r="A44" s="311" t="s">
        <v>485</v>
      </c>
      <c r="B44" s="312">
        <f aca="true" t="shared" si="8" ref="B44:G44">SUM(B45:B48)</f>
        <v>19000</v>
      </c>
      <c r="C44" s="313">
        <f t="shared" si="8"/>
        <v>3100</v>
      </c>
      <c r="D44" s="312">
        <f t="shared" si="8"/>
        <v>22100</v>
      </c>
      <c r="E44" s="618">
        <f t="shared" si="8"/>
        <v>1500</v>
      </c>
      <c r="F44" s="312">
        <f t="shared" si="8"/>
        <v>23600</v>
      </c>
      <c r="G44" s="312">
        <f t="shared" si="8"/>
        <v>9989.23</v>
      </c>
      <c r="H44" s="308">
        <f>G44/F44</f>
        <v>0.4232724576271186</v>
      </c>
      <c r="I44" s="619"/>
      <c r="J44" s="619"/>
      <c r="K44" s="620"/>
      <c r="L44" s="620"/>
    </row>
    <row r="45" spans="1:12" ht="12.75">
      <c r="A45" s="314" t="s">
        <v>393</v>
      </c>
      <c r="B45" s="299">
        <v>1990</v>
      </c>
      <c r="C45" s="300">
        <v>40</v>
      </c>
      <c r="D45" s="296">
        <f>SUM(B45:C45)</f>
        <v>2030</v>
      </c>
      <c r="E45" s="317">
        <v>1500</v>
      </c>
      <c r="F45" s="278">
        <f>SUM(D45:E45)</f>
        <v>3530</v>
      </c>
      <c r="G45" s="315">
        <f>'[3]KS'!$AN$81</f>
        <v>2075</v>
      </c>
      <c r="H45" s="316">
        <f>G45/F45</f>
        <v>0.5878186968838527</v>
      </c>
      <c r="I45" s="298" t="s">
        <v>868</v>
      </c>
      <c r="J45" s="619"/>
      <c r="K45" s="620"/>
      <c r="L45" s="620"/>
    </row>
    <row r="46" spans="1:12" ht="12.75" hidden="1">
      <c r="A46" s="314" t="s">
        <v>1143</v>
      </c>
      <c r="B46" s="299"/>
      <c r="C46" s="300"/>
      <c r="D46" s="296">
        <f>SUM(B46:C46)</f>
        <v>0</v>
      </c>
      <c r="E46" s="317"/>
      <c r="F46" s="278">
        <f>SUM(D46:E46)</f>
        <v>0</v>
      </c>
      <c r="G46" s="315"/>
      <c r="H46" s="316"/>
      <c r="I46" s="619"/>
      <c r="J46" s="619"/>
      <c r="K46" s="620"/>
      <c r="L46" s="620"/>
    </row>
    <row r="47" spans="1:12" ht="12.75">
      <c r="A47" s="314" t="s">
        <v>394</v>
      </c>
      <c r="B47" s="299">
        <v>17000</v>
      </c>
      <c r="C47" s="300">
        <v>3000</v>
      </c>
      <c r="D47" s="296">
        <f>SUM(B47:C47)</f>
        <v>20000</v>
      </c>
      <c r="E47" s="317"/>
      <c r="F47" s="278">
        <f>SUM(D47:E47)</f>
        <v>20000</v>
      </c>
      <c r="G47" s="315">
        <f>'[3]KS'!$AP$81</f>
        <v>7870</v>
      </c>
      <c r="H47" s="316">
        <f>G47/F47</f>
        <v>0.3935</v>
      </c>
      <c r="I47" s="619"/>
      <c r="J47" s="619"/>
      <c r="K47" s="620"/>
      <c r="L47" s="620"/>
    </row>
    <row r="48" spans="1:12" ht="26.25" thickBot="1">
      <c r="A48" s="621" t="s">
        <v>869</v>
      </c>
      <c r="B48" s="622">
        <v>10</v>
      </c>
      <c r="C48" s="300">
        <v>60</v>
      </c>
      <c r="D48" s="296">
        <f>SUM(B48:C48)</f>
        <v>70</v>
      </c>
      <c r="E48" s="317"/>
      <c r="F48" s="278">
        <f>SUM(D48:E48)</f>
        <v>70</v>
      </c>
      <c r="G48" s="315">
        <f>'[3]KS'!$AR$81</f>
        <v>44.23</v>
      </c>
      <c r="H48" s="316">
        <f>G48/F48</f>
        <v>0.6318571428571428</v>
      </c>
      <c r="I48" s="623"/>
      <c r="J48" s="623"/>
      <c r="K48" s="624"/>
      <c r="L48" s="624"/>
    </row>
    <row r="49" spans="1:12" ht="13.5" thickBot="1">
      <c r="A49" s="642" t="s">
        <v>482</v>
      </c>
      <c r="B49" s="643">
        <f>B43+B44</f>
        <v>272200</v>
      </c>
      <c r="C49" s="644">
        <f>C43+C44</f>
        <v>-56900</v>
      </c>
      <c r="D49" s="643">
        <f>SUM(B49:C49)</f>
        <v>215300</v>
      </c>
      <c r="E49" s="645">
        <f>E43+E44</f>
        <v>36500</v>
      </c>
      <c r="F49" s="643">
        <f>F43+F44</f>
        <v>251800</v>
      </c>
      <c r="G49" s="643">
        <f>G43+G44</f>
        <v>138189.23</v>
      </c>
      <c r="H49" s="646">
        <f>G49/F49</f>
        <v>0.5488055202541701</v>
      </c>
      <c r="I49" s="647" t="s">
        <v>434</v>
      </c>
      <c r="J49" s="647" t="s">
        <v>434</v>
      </c>
      <c r="K49" s="648" t="s">
        <v>434</v>
      </c>
      <c r="L49" s="648" t="s">
        <v>434</v>
      </c>
    </row>
    <row r="51" ht="13.5" customHeight="1" hidden="1">
      <c r="A51" s="22" t="s">
        <v>870</v>
      </c>
    </row>
    <row r="52" ht="12.75" hidden="1"/>
    <row r="53" ht="12.75" hidden="1"/>
    <row r="54" ht="12.75" hidden="1"/>
    <row r="55" ht="12.75" hidden="1">
      <c r="A55" s="625" t="s">
        <v>871</v>
      </c>
    </row>
    <row r="56" spans="1:10" ht="27.75" customHeight="1" hidden="1">
      <c r="A56" s="912" t="s">
        <v>872</v>
      </c>
      <c r="B56" s="912"/>
      <c r="C56" s="912"/>
      <c r="D56" s="912"/>
      <c r="E56" s="912"/>
      <c r="F56" s="912"/>
      <c r="G56" s="912"/>
      <c r="H56" s="912"/>
      <c r="I56" s="912"/>
      <c r="J56" s="912"/>
    </row>
    <row r="57" ht="12.75" hidden="1">
      <c r="A57" s="28"/>
    </row>
    <row r="58" ht="12.75" hidden="1">
      <c r="A58" s="28"/>
    </row>
    <row r="59" spans="1:2" ht="29.25" customHeight="1" hidden="1">
      <c r="A59" s="917" t="s">
        <v>873</v>
      </c>
      <c r="B59" s="917"/>
    </row>
    <row r="60" spans="1:2" ht="21" customHeight="1" hidden="1">
      <c r="A60" s="626" t="s">
        <v>874</v>
      </c>
      <c r="B60" s="627">
        <v>1000</v>
      </c>
    </row>
    <row r="61" spans="1:2" ht="21" customHeight="1" hidden="1">
      <c r="A61" s="626" t="s">
        <v>875</v>
      </c>
      <c r="B61" s="627">
        <v>3000</v>
      </c>
    </row>
    <row r="62" spans="1:2" ht="21" customHeight="1" hidden="1">
      <c r="A62" s="626" t="s">
        <v>876</v>
      </c>
      <c r="B62" s="627">
        <v>3000</v>
      </c>
    </row>
    <row r="63" spans="1:2" ht="21" customHeight="1" hidden="1">
      <c r="A63" s="626" t="s">
        <v>877</v>
      </c>
      <c r="B63" s="81">
        <v>3000</v>
      </c>
    </row>
    <row r="64" spans="1:7" ht="18" customHeight="1" hidden="1">
      <c r="A64" s="628" t="s">
        <v>878</v>
      </c>
      <c r="B64" s="319">
        <v>7000</v>
      </c>
      <c r="C64" s="319"/>
      <c r="D64" s="319"/>
      <c r="E64" s="319"/>
      <c r="F64" s="319"/>
      <c r="G64" s="319"/>
    </row>
    <row r="65" spans="1:2" ht="18" customHeight="1" hidden="1">
      <c r="A65" s="626" t="s">
        <v>879</v>
      </c>
      <c r="B65" s="81">
        <v>5000</v>
      </c>
    </row>
    <row r="66" spans="1:2" ht="18" customHeight="1" hidden="1">
      <c r="A66" s="626" t="s">
        <v>880</v>
      </c>
      <c r="B66" s="81">
        <v>6500</v>
      </c>
    </row>
    <row r="67" spans="1:7" ht="18" customHeight="1" hidden="1">
      <c r="A67" s="629" t="s">
        <v>881</v>
      </c>
      <c r="B67" s="630">
        <v>6000</v>
      </c>
      <c r="C67" s="319"/>
      <c r="D67" s="319"/>
      <c r="E67" s="319"/>
      <c r="F67" s="319"/>
      <c r="G67" s="319"/>
    </row>
    <row r="68" spans="1:7" ht="18" customHeight="1" hidden="1">
      <c r="A68" s="631" t="s">
        <v>482</v>
      </c>
      <c r="B68" s="318">
        <f>SUM(B60:B67)</f>
        <v>34500</v>
      </c>
      <c r="C68" s="318"/>
      <c r="D68" s="318"/>
      <c r="E68" s="318"/>
      <c r="F68" s="318"/>
      <c r="G68" s="318"/>
    </row>
    <row r="69" ht="23.25" customHeight="1">
      <c r="A69" s="22" t="s">
        <v>882</v>
      </c>
    </row>
    <row r="70" ht="18" customHeight="1">
      <c r="A70" s="626"/>
    </row>
    <row r="71" ht="18" customHeight="1"/>
    <row r="72" spans="1:12" ht="18" customHeight="1">
      <c r="A72" s="22" t="s">
        <v>883</v>
      </c>
      <c r="I72" s="632"/>
      <c r="K72" s="632"/>
      <c r="L72" s="632"/>
    </row>
    <row r="73" spans="9:12" ht="18" customHeight="1">
      <c r="I73" s="69" t="s">
        <v>884</v>
      </c>
      <c r="K73" s="69" t="s">
        <v>884</v>
      </c>
      <c r="L73" s="69" t="s">
        <v>884</v>
      </c>
    </row>
    <row r="74" ht="18" customHeight="1"/>
    <row r="75" ht="18" customHeight="1"/>
    <row r="76" ht="18" customHeight="1"/>
    <row r="77" ht="18" customHeight="1"/>
    <row r="78" spans="1:9" ht="18" customHeight="1">
      <c r="A78" s="918" t="s">
        <v>885</v>
      </c>
      <c r="B78" s="918"/>
      <c r="C78" s="918"/>
      <c r="D78" s="918"/>
      <c r="E78" s="918"/>
      <c r="F78" s="918"/>
      <c r="G78" s="918"/>
      <c r="H78" s="918"/>
      <c r="I78" s="918"/>
    </row>
    <row r="79" spans="1:9" ht="18" customHeight="1">
      <c r="A79" s="265"/>
      <c r="B79" s="265"/>
      <c r="C79" s="265"/>
      <c r="D79" s="265"/>
      <c r="E79" s="265"/>
      <c r="F79" s="265"/>
      <c r="G79" s="265"/>
      <c r="H79" s="265"/>
      <c r="I79" s="265"/>
    </row>
    <row r="80" spans="1:8" ht="18.75" customHeight="1">
      <c r="A80" s="912" t="s">
        <v>886</v>
      </c>
      <c r="B80" s="912"/>
      <c r="C80" s="912"/>
      <c r="D80" s="912"/>
      <c r="E80" s="912"/>
      <c r="F80" s="912"/>
      <c r="G80" s="28"/>
      <c r="H80" s="318">
        <v>1014.72</v>
      </c>
    </row>
    <row r="81" spans="1:8" ht="18.75" customHeight="1">
      <c r="A81" s="912" t="s">
        <v>887</v>
      </c>
      <c r="B81" s="912"/>
      <c r="C81" s="912"/>
      <c r="D81" s="912"/>
      <c r="E81" s="912"/>
      <c r="F81" s="912"/>
      <c r="H81" s="318">
        <f>SUM(H83:H86)</f>
        <v>10609.66</v>
      </c>
    </row>
    <row r="82" spans="1:8" ht="18.75" customHeight="1">
      <c r="A82" s="911" t="s">
        <v>453</v>
      </c>
      <c r="B82" s="911"/>
      <c r="C82" s="911"/>
      <c r="D82" s="911"/>
      <c r="E82" s="911"/>
      <c r="F82" s="911"/>
      <c r="H82" s="81"/>
    </row>
    <row r="83" spans="1:8" ht="29.25" customHeight="1">
      <c r="A83" s="910" t="s">
        <v>888</v>
      </c>
      <c r="B83" s="910"/>
      <c r="C83" s="910"/>
      <c r="D83" s="910"/>
      <c r="E83" s="910"/>
      <c r="F83" s="910"/>
      <c r="H83" s="81">
        <v>808</v>
      </c>
    </row>
    <row r="84" spans="1:8" ht="29.25" customHeight="1">
      <c r="A84" s="910" t="s">
        <v>889</v>
      </c>
      <c r="B84" s="910"/>
      <c r="C84" s="910"/>
      <c r="D84" s="910"/>
      <c r="E84" s="910"/>
      <c r="F84" s="910"/>
      <c r="H84" s="81">
        <v>3609.42</v>
      </c>
    </row>
    <row r="85" spans="1:8" ht="29.25" customHeight="1">
      <c r="A85" s="910" t="s">
        <v>890</v>
      </c>
      <c r="B85" s="910"/>
      <c r="C85" s="910"/>
      <c r="D85" s="910"/>
      <c r="E85" s="910"/>
      <c r="F85" s="910"/>
      <c r="H85" s="81">
        <f>6192.24-H86</f>
        <v>6074.2</v>
      </c>
    </row>
    <row r="86" spans="1:8" ht="29.25" customHeight="1">
      <c r="A86" s="910" t="s">
        <v>891</v>
      </c>
      <c r="B86" s="910"/>
      <c r="C86" s="910"/>
      <c r="D86" s="910"/>
      <c r="E86" s="910"/>
      <c r="F86" s="910"/>
      <c r="H86" s="81">
        <v>118.04</v>
      </c>
    </row>
    <row r="87" spans="1:8" ht="18.75" customHeight="1">
      <c r="A87" s="912" t="s">
        <v>892</v>
      </c>
      <c r="B87" s="912"/>
      <c r="C87" s="912"/>
      <c r="D87" s="912"/>
      <c r="E87" s="912"/>
      <c r="F87" s="912"/>
      <c r="H87" s="318">
        <v>160</v>
      </c>
    </row>
    <row r="88" spans="1:8" ht="18.75" customHeight="1">
      <c r="A88" s="910" t="s">
        <v>893</v>
      </c>
      <c r="B88" s="910"/>
      <c r="C88" s="910"/>
      <c r="D88" s="910"/>
      <c r="E88" s="910"/>
      <c r="F88" s="910"/>
      <c r="H88" s="81">
        <v>160</v>
      </c>
    </row>
    <row r="89" ht="18" customHeight="1">
      <c r="A89" s="633"/>
    </row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</sheetData>
  <mergeCells count="44">
    <mergeCell ref="A2:L2"/>
    <mergeCell ref="A4:A5"/>
    <mergeCell ref="B4:B5"/>
    <mergeCell ref="C4:C5"/>
    <mergeCell ref="D4:D5"/>
    <mergeCell ref="F4:F5"/>
    <mergeCell ref="G4:G5"/>
    <mergeCell ref="H4:H5"/>
    <mergeCell ref="I4:I5"/>
    <mergeCell ref="J4:J5"/>
    <mergeCell ref="K4:K5"/>
    <mergeCell ref="L4:L5"/>
    <mergeCell ref="I6:I11"/>
    <mergeCell ref="K6:K11"/>
    <mergeCell ref="L6:L11"/>
    <mergeCell ref="L15:L25"/>
    <mergeCell ref="I26:I30"/>
    <mergeCell ref="K26:K30"/>
    <mergeCell ref="L26:L30"/>
    <mergeCell ref="I15:I25"/>
    <mergeCell ref="K15:K25"/>
    <mergeCell ref="J41:J42"/>
    <mergeCell ref="K41:K42"/>
    <mergeCell ref="L41:L42"/>
    <mergeCell ref="A56:J56"/>
    <mergeCell ref="F41:F42"/>
    <mergeCell ref="G41:G42"/>
    <mergeCell ref="H41:H42"/>
    <mergeCell ref="I41:I42"/>
    <mergeCell ref="A41:A42"/>
    <mergeCell ref="B41:B42"/>
    <mergeCell ref="C41:C42"/>
    <mergeCell ref="D41:D42"/>
    <mergeCell ref="A59:B59"/>
    <mergeCell ref="A78:I78"/>
    <mergeCell ref="A80:F80"/>
    <mergeCell ref="A81:F81"/>
    <mergeCell ref="A86:F86"/>
    <mergeCell ref="A87:F87"/>
    <mergeCell ref="A88:F88"/>
    <mergeCell ref="A82:F82"/>
    <mergeCell ref="A83:F83"/>
    <mergeCell ref="A84:F84"/>
    <mergeCell ref="A85:F85"/>
  </mergeCells>
  <printOptions/>
  <pageMargins left="0.17" right="0.15748031496062992" top="0.31" bottom="0.1968503937007874" header="0.31" footer="0.15748031496062992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D4033"/>
  <sheetViews>
    <sheetView zoomScale="150" zoomScaleNormal="150" workbookViewId="0" topLeftCell="C117">
      <selection activeCell="A1" sqref="A1:AC126"/>
    </sheetView>
  </sheetViews>
  <sheetFormatPr defaultColWidth="9.140625" defaultRowHeight="12.75"/>
  <cols>
    <col min="1" max="1" width="4.140625" style="111" customWidth="1"/>
    <col min="2" max="2" width="6.57421875" style="111" customWidth="1"/>
    <col min="3" max="3" width="4.8515625" style="111" customWidth="1"/>
    <col min="4" max="4" width="29.140625" style="111" customWidth="1"/>
    <col min="5" max="5" width="33.28125" style="1" hidden="1" customWidth="1"/>
    <col min="6" max="6" width="17.421875" style="434" hidden="1" customWidth="1"/>
    <col min="7" max="7" width="12.8515625" style="519" hidden="1" customWidth="1"/>
    <col min="8" max="12" width="13.421875" style="519" hidden="1" customWidth="1"/>
    <col min="13" max="13" width="6.8515625" style="519" hidden="1" customWidth="1"/>
    <col min="14" max="14" width="14.140625" style="575" customWidth="1"/>
    <col min="15" max="26" width="13.8515625" style="434" hidden="1" customWidth="1"/>
    <col min="27" max="27" width="13.140625" style="111" customWidth="1"/>
    <col min="28" max="28" width="6.140625" style="111" customWidth="1"/>
    <col min="29" max="29" width="25.57421875" style="111" customWidth="1"/>
    <col min="30" max="16384" width="9.140625" style="111" customWidth="1"/>
  </cols>
  <sheetData>
    <row r="1" spans="1:29" ht="21">
      <c r="A1" s="432" t="s">
        <v>838</v>
      </c>
      <c r="B1" s="110"/>
      <c r="C1" s="110"/>
      <c r="E1" s="514" t="s">
        <v>839</v>
      </c>
      <c r="F1" s="515"/>
      <c r="G1" s="516"/>
      <c r="H1" s="516"/>
      <c r="I1" s="516"/>
      <c r="J1" s="516"/>
      <c r="K1" s="516"/>
      <c r="L1" s="516"/>
      <c r="M1" s="516"/>
      <c r="N1" s="433"/>
      <c r="O1" s="515"/>
      <c r="P1" s="515"/>
      <c r="Q1" s="515"/>
      <c r="R1" s="515"/>
      <c r="S1" s="515"/>
      <c r="T1" s="515"/>
      <c r="U1" s="515"/>
      <c r="V1" s="515"/>
      <c r="W1" s="515"/>
      <c r="X1" s="515"/>
      <c r="Y1" s="515"/>
      <c r="Z1" s="515"/>
      <c r="AA1" s="517"/>
      <c r="AB1" s="517"/>
      <c r="AC1" s="517"/>
    </row>
    <row r="2" spans="1:14" ht="13.5" thickBot="1">
      <c r="A2" s="518"/>
      <c r="B2" s="110"/>
      <c r="C2" s="110"/>
      <c r="N2" s="433"/>
    </row>
    <row r="3" spans="1:29" s="112" customFormat="1" ht="20.25" customHeight="1">
      <c r="A3" s="787" t="s">
        <v>135</v>
      </c>
      <c r="B3" s="787" t="s">
        <v>136</v>
      </c>
      <c r="C3" s="787" t="s">
        <v>137</v>
      </c>
      <c r="D3" s="787" t="s">
        <v>138</v>
      </c>
      <c r="E3" s="789"/>
      <c r="F3" s="787" t="s">
        <v>840</v>
      </c>
      <c r="G3" s="520" t="s">
        <v>139</v>
      </c>
      <c r="H3" s="520"/>
      <c r="I3" s="520" t="s">
        <v>154</v>
      </c>
      <c r="J3" s="520"/>
      <c r="K3" s="520"/>
      <c r="L3" s="520"/>
      <c r="M3" s="520"/>
      <c r="N3" s="791" t="s">
        <v>140</v>
      </c>
      <c r="O3" s="787" t="s">
        <v>141</v>
      </c>
      <c r="P3" s="787" t="s">
        <v>142</v>
      </c>
      <c r="Q3" s="787" t="s">
        <v>143</v>
      </c>
      <c r="R3" s="787" t="s">
        <v>144</v>
      </c>
      <c r="S3" s="787" t="s">
        <v>145</v>
      </c>
      <c r="T3" s="787" t="s">
        <v>146</v>
      </c>
      <c r="U3" s="787" t="s">
        <v>147</v>
      </c>
      <c r="V3" s="787" t="s">
        <v>148</v>
      </c>
      <c r="W3" s="787" t="s">
        <v>149</v>
      </c>
      <c r="X3" s="787" t="s">
        <v>150</v>
      </c>
      <c r="Y3" s="787" t="s">
        <v>151</v>
      </c>
      <c r="Z3" s="787" t="s">
        <v>152</v>
      </c>
      <c r="AA3" s="799" t="s">
        <v>783</v>
      </c>
      <c r="AB3" s="793" t="s">
        <v>153</v>
      </c>
      <c r="AC3" s="797" t="s">
        <v>808</v>
      </c>
    </row>
    <row r="4" spans="1:29" s="521" customFormat="1" ht="42.75" customHeight="1" thickBot="1">
      <c r="A4" s="788"/>
      <c r="B4" s="788"/>
      <c r="C4" s="788"/>
      <c r="D4" s="788"/>
      <c r="E4" s="790"/>
      <c r="F4" s="788"/>
      <c r="G4" s="328" t="s">
        <v>841</v>
      </c>
      <c r="H4" s="328" t="s">
        <v>842</v>
      </c>
      <c r="I4" s="328" t="s">
        <v>843</v>
      </c>
      <c r="J4" s="328" t="s">
        <v>844</v>
      </c>
      <c r="K4" s="328" t="s">
        <v>844</v>
      </c>
      <c r="L4" s="328" t="s">
        <v>844</v>
      </c>
      <c r="M4" s="328" t="s">
        <v>844</v>
      </c>
      <c r="N4" s="792"/>
      <c r="O4" s="788"/>
      <c r="P4" s="788"/>
      <c r="Q4" s="788"/>
      <c r="R4" s="788"/>
      <c r="S4" s="788"/>
      <c r="T4" s="788"/>
      <c r="U4" s="788"/>
      <c r="V4" s="788"/>
      <c r="W4" s="788"/>
      <c r="X4" s="788"/>
      <c r="Y4" s="788"/>
      <c r="Z4" s="788"/>
      <c r="AA4" s="800"/>
      <c r="AB4" s="794"/>
      <c r="AC4" s="798"/>
    </row>
    <row r="5" spans="1:29" s="526" customFormat="1" ht="16.5" customHeight="1">
      <c r="A5" s="522"/>
      <c r="B5" s="522"/>
      <c r="C5" s="522"/>
      <c r="D5" s="522"/>
      <c r="E5" s="523"/>
      <c r="F5" s="522"/>
      <c r="G5" s="524"/>
      <c r="H5" s="524"/>
      <c r="I5" s="524"/>
      <c r="J5" s="524"/>
      <c r="K5" s="524"/>
      <c r="L5" s="524"/>
      <c r="M5" s="524"/>
      <c r="N5" s="525"/>
      <c r="O5" s="522"/>
      <c r="P5" s="522"/>
      <c r="Q5" s="522"/>
      <c r="R5" s="522"/>
      <c r="S5" s="522"/>
      <c r="T5" s="522"/>
      <c r="U5" s="522"/>
      <c r="V5" s="522"/>
      <c r="W5" s="522"/>
      <c r="X5" s="522"/>
      <c r="Y5" s="522"/>
      <c r="Z5" s="522"/>
      <c r="AA5" s="525"/>
      <c r="AB5" s="525"/>
      <c r="AC5" s="525"/>
    </row>
    <row r="6" spans="1:29" s="433" customFormat="1" ht="16.5" customHeight="1">
      <c r="A6" s="435" t="s">
        <v>155</v>
      </c>
      <c r="B6" s="436"/>
      <c r="C6" s="436"/>
      <c r="D6" s="437" t="s">
        <v>156</v>
      </c>
      <c r="E6" s="527"/>
      <c r="F6" s="528">
        <f>F7</f>
        <v>4000</v>
      </c>
      <c r="G6" s="529">
        <f>G7</f>
        <v>0</v>
      </c>
      <c r="H6" s="529">
        <f aca="true" t="shared" si="0" ref="H6:M6">H7</f>
        <v>0</v>
      </c>
      <c r="I6" s="529">
        <f t="shared" si="0"/>
        <v>248216</v>
      </c>
      <c r="J6" s="529">
        <f t="shared" si="0"/>
        <v>0</v>
      </c>
      <c r="K6" s="529">
        <f t="shared" si="0"/>
        <v>0</v>
      </c>
      <c r="L6" s="529">
        <f t="shared" si="0"/>
        <v>0</v>
      </c>
      <c r="M6" s="529">
        <f t="shared" si="0"/>
        <v>0</v>
      </c>
      <c r="N6" s="528">
        <f>N7</f>
        <v>252216</v>
      </c>
      <c r="O6" s="528">
        <f>O7</f>
        <v>0</v>
      </c>
      <c r="P6" s="528">
        <f aca="true" t="shared" si="1" ref="P6:Z6">P7</f>
        <v>0</v>
      </c>
      <c r="Q6" s="528">
        <f t="shared" si="1"/>
        <v>0</v>
      </c>
      <c r="R6" s="528">
        <f t="shared" si="1"/>
        <v>0</v>
      </c>
      <c r="S6" s="528">
        <f t="shared" si="1"/>
        <v>248215.85</v>
      </c>
      <c r="T6" s="530">
        <f t="shared" si="1"/>
        <v>-280.37</v>
      </c>
      <c r="U6" s="528">
        <f t="shared" si="1"/>
        <v>0</v>
      </c>
      <c r="V6" s="528">
        <f t="shared" si="1"/>
        <v>0</v>
      </c>
      <c r="W6" s="528">
        <f t="shared" si="1"/>
        <v>0</v>
      </c>
      <c r="X6" s="528">
        <f t="shared" si="1"/>
        <v>0</v>
      </c>
      <c r="Y6" s="528">
        <f t="shared" si="1"/>
        <v>0</v>
      </c>
      <c r="Z6" s="528">
        <f t="shared" si="1"/>
        <v>0</v>
      </c>
      <c r="AA6" s="528">
        <f>AA7</f>
        <v>247935.48</v>
      </c>
      <c r="AB6" s="113">
        <f>AA6*100/N6</f>
        <v>98.30283566466838</v>
      </c>
      <c r="AC6" s="528"/>
    </row>
    <row r="7" spans="1:29" s="433" customFormat="1" ht="15" customHeight="1">
      <c r="A7" s="438"/>
      <c r="B7" s="117" t="s">
        <v>161</v>
      </c>
      <c r="C7" s="439"/>
      <c r="D7" s="440" t="s">
        <v>162</v>
      </c>
      <c r="E7" s="531"/>
      <c r="F7" s="532">
        <f>SUM(F8:F9)</f>
        <v>4000</v>
      </c>
      <c r="G7" s="533">
        <f>SUM(G8:G9)</f>
        <v>0</v>
      </c>
      <c r="H7" s="533">
        <f aca="true" t="shared" si="2" ref="H7:M7">SUM(H8:H9)</f>
        <v>0</v>
      </c>
      <c r="I7" s="533">
        <f t="shared" si="2"/>
        <v>248216</v>
      </c>
      <c r="J7" s="533">
        <f t="shared" si="2"/>
        <v>0</v>
      </c>
      <c r="K7" s="533">
        <f t="shared" si="2"/>
        <v>0</v>
      </c>
      <c r="L7" s="533">
        <f t="shared" si="2"/>
        <v>0</v>
      </c>
      <c r="M7" s="533">
        <f t="shared" si="2"/>
        <v>0</v>
      </c>
      <c r="N7" s="534">
        <f>N8+N9</f>
        <v>252216</v>
      </c>
      <c r="O7" s="532">
        <f>SUM(O8:O9)</f>
        <v>0</v>
      </c>
      <c r="P7" s="532">
        <f aca="true" t="shared" si="3" ref="P7:Z7">SUM(P8:P9)</f>
        <v>0</v>
      </c>
      <c r="Q7" s="532">
        <f t="shared" si="3"/>
        <v>0</v>
      </c>
      <c r="R7" s="532">
        <f t="shared" si="3"/>
        <v>0</v>
      </c>
      <c r="S7" s="532">
        <f t="shared" si="3"/>
        <v>248215.85</v>
      </c>
      <c r="T7" s="535">
        <f t="shared" si="3"/>
        <v>-280.37</v>
      </c>
      <c r="U7" s="532">
        <f t="shared" si="3"/>
        <v>0</v>
      </c>
      <c r="V7" s="532">
        <f t="shared" si="3"/>
        <v>0</v>
      </c>
      <c r="W7" s="532">
        <f t="shared" si="3"/>
        <v>0</v>
      </c>
      <c r="X7" s="532">
        <f t="shared" si="3"/>
        <v>0</v>
      </c>
      <c r="Y7" s="532">
        <f t="shared" si="3"/>
        <v>0</v>
      </c>
      <c r="Z7" s="532">
        <f t="shared" si="3"/>
        <v>0</v>
      </c>
      <c r="AA7" s="509">
        <f>AA8+AA9</f>
        <v>247935.48</v>
      </c>
      <c r="AB7" s="536">
        <f>AA7*100/N7</f>
        <v>98.30283566466838</v>
      </c>
      <c r="AC7" s="509"/>
    </row>
    <row r="8" spans="1:29" s="433" customFormat="1" ht="99" customHeight="1">
      <c r="A8" s="438"/>
      <c r="B8" s="49"/>
      <c r="C8" s="114" t="s">
        <v>163</v>
      </c>
      <c r="D8" s="50" t="s">
        <v>164</v>
      </c>
      <c r="E8" s="4" t="s">
        <v>845</v>
      </c>
      <c r="F8" s="537">
        <v>4000</v>
      </c>
      <c r="G8" s="115"/>
      <c r="H8" s="115"/>
      <c r="I8" s="115"/>
      <c r="J8" s="115"/>
      <c r="K8" s="115"/>
      <c r="L8" s="115"/>
      <c r="M8" s="115"/>
      <c r="N8" s="538">
        <f>F8+G8+H8+I8+J8+K8+L8+M8</f>
        <v>4000</v>
      </c>
      <c r="O8" s="537"/>
      <c r="P8" s="537"/>
      <c r="Q8" s="537"/>
      <c r="R8" s="537"/>
      <c r="S8" s="537"/>
      <c r="T8" s="537"/>
      <c r="U8" s="537"/>
      <c r="V8" s="537"/>
      <c r="W8" s="537"/>
      <c r="X8" s="537"/>
      <c r="Y8" s="537"/>
      <c r="Z8" s="537"/>
      <c r="AA8" s="116">
        <f>SUM(O8:Z8)</f>
        <v>0</v>
      </c>
      <c r="AB8" s="8">
        <f>AA8*100/N8</f>
        <v>0</v>
      </c>
      <c r="AC8" s="2" t="s">
        <v>84</v>
      </c>
    </row>
    <row r="9" spans="1:29" s="433" customFormat="1" ht="90">
      <c r="A9" s="438"/>
      <c r="B9" s="49"/>
      <c r="C9" s="49">
        <v>2010</v>
      </c>
      <c r="D9" s="50" t="s">
        <v>165</v>
      </c>
      <c r="E9" s="531"/>
      <c r="F9" s="537"/>
      <c r="G9" s="115"/>
      <c r="H9" s="115"/>
      <c r="I9" s="115">
        <v>248216</v>
      </c>
      <c r="J9" s="115"/>
      <c r="K9" s="115"/>
      <c r="L9" s="115"/>
      <c r="M9" s="115"/>
      <c r="N9" s="538">
        <f>F9+G9+H9+I9+J9+K9+L9+M9</f>
        <v>248216</v>
      </c>
      <c r="O9" s="537"/>
      <c r="P9" s="537"/>
      <c r="Q9" s="537"/>
      <c r="R9" s="537"/>
      <c r="S9" s="537">
        <v>248215.85</v>
      </c>
      <c r="T9" s="539">
        <v>-280.37</v>
      </c>
      <c r="U9" s="537"/>
      <c r="V9" s="537"/>
      <c r="W9" s="537"/>
      <c r="X9" s="537"/>
      <c r="Y9" s="537"/>
      <c r="Z9" s="537"/>
      <c r="AA9" s="116">
        <f>SUM(O9:Z9)</f>
        <v>247935.48</v>
      </c>
      <c r="AB9" s="8">
        <f>AA9*100/N9</f>
        <v>99.88698552873304</v>
      </c>
      <c r="AC9" s="576" t="s">
        <v>85</v>
      </c>
    </row>
    <row r="10" spans="1:29" s="118" customFormat="1" ht="16.5" customHeight="1">
      <c r="A10" s="540">
        <v>600</v>
      </c>
      <c r="B10" s="540"/>
      <c r="C10" s="540"/>
      <c r="D10" s="541" t="s">
        <v>169</v>
      </c>
      <c r="E10" s="3"/>
      <c r="F10" s="441">
        <f aca="true" t="shared" si="4" ref="F10:U11">F11</f>
        <v>0</v>
      </c>
      <c r="G10" s="542">
        <f t="shared" si="4"/>
        <v>0</v>
      </c>
      <c r="H10" s="542">
        <f t="shared" si="4"/>
        <v>0</v>
      </c>
      <c r="I10" s="542">
        <f>I13</f>
        <v>110000</v>
      </c>
      <c r="J10" s="542">
        <f t="shared" si="4"/>
        <v>0</v>
      </c>
      <c r="K10" s="542">
        <f t="shared" si="4"/>
        <v>0</v>
      </c>
      <c r="L10" s="542">
        <f t="shared" si="4"/>
        <v>0</v>
      </c>
      <c r="M10" s="542">
        <f t="shared" si="4"/>
        <v>0</v>
      </c>
      <c r="N10" s="441">
        <f>N11+N13</f>
        <v>110000</v>
      </c>
      <c r="O10" s="441">
        <f t="shared" si="4"/>
        <v>0</v>
      </c>
      <c r="P10" s="441">
        <f t="shared" si="4"/>
        <v>0</v>
      </c>
      <c r="Q10" s="441">
        <f t="shared" si="4"/>
        <v>0</v>
      </c>
      <c r="R10" s="441">
        <f t="shared" si="4"/>
        <v>0</v>
      </c>
      <c r="S10" s="441">
        <f t="shared" si="4"/>
        <v>0</v>
      </c>
      <c r="T10" s="441">
        <f t="shared" si="4"/>
        <v>0</v>
      </c>
      <c r="U10" s="441">
        <f t="shared" si="4"/>
        <v>0</v>
      </c>
      <c r="V10" s="441">
        <f aca="true" t="shared" si="5" ref="T10:Z11">V11</f>
        <v>0</v>
      </c>
      <c r="W10" s="441">
        <f t="shared" si="5"/>
        <v>0</v>
      </c>
      <c r="X10" s="441">
        <f t="shared" si="5"/>
        <v>0</v>
      </c>
      <c r="Y10" s="441">
        <f t="shared" si="5"/>
        <v>0</v>
      </c>
      <c r="Z10" s="441">
        <f t="shared" si="5"/>
        <v>0</v>
      </c>
      <c r="AA10" s="441">
        <f>AA11+AA13</f>
        <v>0</v>
      </c>
      <c r="AB10" s="113">
        <f aca="true" t="shared" si="6" ref="AB10:AB73">AA10*100/N10</f>
        <v>0</v>
      </c>
      <c r="AC10" s="441"/>
    </row>
    <row r="11" spans="1:29" s="118" customFormat="1" ht="18" customHeight="1" hidden="1">
      <c r="A11" s="35"/>
      <c r="B11" s="35">
        <v>60014</v>
      </c>
      <c r="C11" s="35"/>
      <c r="D11" s="36" t="s">
        <v>170</v>
      </c>
      <c r="E11" s="543"/>
      <c r="F11" s="402">
        <f>F12</f>
        <v>0</v>
      </c>
      <c r="G11" s="442">
        <f>G12</f>
        <v>0</v>
      </c>
      <c r="H11" s="442">
        <f t="shared" si="4"/>
        <v>0</v>
      </c>
      <c r="I11" s="442">
        <f t="shared" si="4"/>
        <v>0</v>
      </c>
      <c r="J11" s="442">
        <f t="shared" si="4"/>
        <v>0</v>
      </c>
      <c r="K11" s="442">
        <f t="shared" si="4"/>
        <v>0</v>
      </c>
      <c r="L11" s="442">
        <f t="shared" si="4"/>
        <v>0</v>
      </c>
      <c r="M11" s="442">
        <f t="shared" si="4"/>
        <v>0</v>
      </c>
      <c r="N11" s="544">
        <f>N12</f>
        <v>0</v>
      </c>
      <c r="O11" s="402">
        <f>O12</f>
        <v>0</v>
      </c>
      <c r="P11" s="402">
        <f t="shared" si="4"/>
        <v>0</v>
      </c>
      <c r="Q11" s="402">
        <f t="shared" si="4"/>
        <v>0</v>
      </c>
      <c r="R11" s="402">
        <f t="shared" si="4"/>
        <v>0</v>
      </c>
      <c r="S11" s="402">
        <f t="shared" si="4"/>
        <v>0</v>
      </c>
      <c r="T11" s="402">
        <f t="shared" si="5"/>
        <v>0</v>
      </c>
      <c r="U11" s="402">
        <f t="shared" si="5"/>
        <v>0</v>
      </c>
      <c r="V11" s="402">
        <f t="shared" si="5"/>
        <v>0</v>
      </c>
      <c r="W11" s="402">
        <f t="shared" si="5"/>
        <v>0</v>
      </c>
      <c r="X11" s="402">
        <f t="shared" si="5"/>
        <v>0</v>
      </c>
      <c r="Y11" s="402">
        <f t="shared" si="5"/>
        <v>0</v>
      </c>
      <c r="Z11" s="402">
        <f t="shared" si="5"/>
        <v>0</v>
      </c>
      <c r="AA11" s="402">
        <f>AA12+AA14</f>
        <v>0</v>
      </c>
      <c r="AB11" s="8" t="e">
        <f t="shared" si="6"/>
        <v>#DIV/0!</v>
      </c>
      <c r="AC11" s="402"/>
    </row>
    <row r="12" spans="1:29" s="118" customFormat="1" ht="55.5" customHeight="1" hidden="1">
      <c r="A12" s="35"/>
      <c r="B12" s="35"/>
      <c r="C12" s="41">
        <v>6620</v>
      </c>
      <c r="D12" s="42" t="s">
        <v>171</v>
      </c>
      <c r="E12" s="4" t="s">
        <v>846</v>
      </c>
      <c r="F12" s="120"/>
      <c r="G12" s="545"/>
      <c r="H12" s="545"/>
      <c r="I12" s="545"/>
      <c r="J12" s="545"/>
      <c r="K12" s="545"/>
      <c r="L12" s="545"/>
      <c r="M12" s="545"/>
      <c r="N12" s="538">
        <f>F12+G12+H12+I12+J12+K12+L12</f>
        <v>0</v>
      </c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16">
        <f>SUM(O12:Z12)</f>
        <v>0</v>
      </c>
      <c r="AB12" s="8" t="e">
        <f t="shared" si="6"/>
        <v>#DIV/0!</v>
      </c>
      <c r="AC12" s="116"/>
    </row>
    <row r="13" spans="1:29" s="118" customFormat="1" ht="18" customHeight="1">
      <c r="A13" s="35"/>
      <c r="B13" s="35">
        <v>60016</v>
      </c>
      <c r="C13" s="35"/>
      <c r="D13" s="36" t="s">
        <v>172</v>
      </c>
      <c r="E13" s="543"/>
      <c r="F13" s="402">
        <f>F15</f>
        <v>0</v>
      </c>
      <c r="G13" s="442">
        <f>G15</f>
        <v>0</v>
      </c>
      <c r="H13" s="442">
        <f aca="true" t="shared" si="7" ref="H13:M13">H15</f>
        <v>0</v>
      </c>
      <c r="I13" s="442">
        <f>I14</f>
        <v>110000</v>
      </c>
      <c r="J13" s="442">
        <f t="shared" si="7"/>
        <v>0</v>
      </c>
      <c r="K13" s="442">
        <f t="shared" si="7"/>
        <v>0</v>
      </c>
      <c r="L13" s="442">
        <f t="shared" si="7"/>
        <v>0</v>
      </c>
      <c r="M13" s="442">
        <f t="shared" si="7"/>
        <v>0</v>
      </c>
      <c r="N13" s="544">
        <f>N15+N14</f>
        <v>110000</v>
      </c>
      <c r="O13" s="402">
        <f>O15</f>
        <v>0</v>
      </c>
      <c r="P13" s="402">
        <f aca="true" t="shared" si="8" ref="P13:Z13">P15</f>
        <v>0</v>
      </c>
      <c r="Q13" s="402">
        <f t="shared" si="8"/>
        <v>0</v>
      </c>
      <c r="R13" s="402">
        <f t="shared" si="8"/>
        <v>0</v>
      </c>
      <c r="S13" s="402">
        <f t="shared" si="8"/>
        <v>0</v>
      </c>
      <c r="T13" s="402">
        <f t="shared" si="8"/>
        <v>0</v>
      </c>
      <c r="U13" s="402">
        <f t="shared" si="8"/>
        <v>0</v>
      </c>
      <c r="V13" s="402">
        <f t="shared" si="8"/>
        <v>0</v>
      </c>
      <c r="W13" s="402">
        <f t="shared" si="8"/>
        <v>0</v>
      </c>
      <c r="X13" s="402">
        <f t="shared" si="8"/>
        <v>0</v>
      </c>
      <c r="Y13" s="402">
        <f t="shared" si="8"/>
        <v>0</v>
      </c>
      <c r="Z13" s="402">
        <f t="shared" si="8"/>
        <v>0</v>
      </c>
      <c r="AA13" s="443">
        <f>AA15+AA14</f>
        <v>0</v>
      </c>
      <c r="AB13" s="8">
        <f>AA13*100/N13</f>
        <v>0</v>
      </c>
      <c r="AC13" s="443"/>
    </row>
    <row r="14" spans="1:29" s="118" customFormat="1" ht="78.75">
      <c r="A14" s="35"/>
      <c r="B14" s="35"/>
      <c r="C14" s="41">
        <v>6260</v>
      </c>
      <c r="D14" s="42" t="s">
        <v>173</v>
      </c>
      <c r="E14" s="4"/>
      <c r="F14" s="120"/>
      <c r="G14" s="545"/>
      <c r="H14" s="545"/>
      <c r="I14" s="545">
        <v>110000</v>
      </c>
      <c r="J14" s="545"/>
      <c r="K14" s="545"/>
      <c r="L14" s="545"/>
      <c r="M14" s="545"/>
      <c r="N14" s="538">
        <f>F14+G14+H14+I14+J14+K14+L14+M14</f>
        <v>110000</v>
      </c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16">
        <f>SUM(O14:Z14)</f>
        <v>0</v>
      </c>
      <c r="AB14" s="8">
        <f t="shared" si="6"/>
        <v>0</v>
      </c>
      <c r="AC14" s="577" t="s">
        <v>86</v>
      </c>
    </row>
    <row r="15" spans="1:29" s="118" customFormat="1" ht="61.5" customHeight="1" hidden="1">
      <c r="A15" s="35"/>
      <c r="B15" s="35"/>
      <c r="C15" s="41">
        <v>6300</v>
      </c>
      <c r="D15" s="42" t="s">
        <v>174</v>
      </c>
      <c r="E15" s="4"/>
      <c r="F15" s="120"/>
      <c r="G15" s="545"/>
      <c r="H15" s="545"/>
      <c r="I15" s="545"/>
      <c r="J15" s="545"/>
      <c r="K15" s="545"/>
      <c r="L15" s="545"/>
      <c r="M15" s="545"/>
      <c r="N15" s="538">
        <f>F15+G15+H15+I15+J15+K15+L15</f>
        <v>0</v>
      </c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16">
        <f>SUM(O15:Z15)</f>
        <v>0</v>
      </c>
      <c r="AB15" s="8" t="e">
        <f t="shared" si="6"/>
        <v>#DIV/0!</v>
      </c>
      <c r="AC15" s="116"/>
    </row>
    <row r="16" spans="1:29" s="118" customFormat="1" ht="17.25" customHeight="1">
      <c r="A16" s="444">
        <v>700</v>
      </c>
      <c r="B16" s="444"/>
      <c r="C16" s="444"/>
      <c r="D16" s="445" t="s">
        <v>175</v>
      </c>
      <c r="E16" s="3"/>
      <c r="F16" s="441">
        <f aca="true" t="shared" si="9" ref="F16:Z16">F17</f>
        <v>1030267</v>
      </c>
      <c r="G16" s="542">
        <f t="shared" si="9"/>
        <v>3000</v>
      </c>
      <c r="H16" s="542">
        <f t="shared" si="9"/>
        <v>1500</v>
      </c>
      <c r="I16" s="542">
        <f t="shared" si="9"/>
        <v>2060</v>
      </c>
      <c r="J16" s="542">
        <f t="shared" si="9"/>
        <v>0</v>
      </c>
      <c r="K16" s="542">
        <f t="shared" si="9"/>
        <v>0</v>
      </c>
      <c r="L16" s="542">
        <f t="shared" si="9"/>
        <v>0</v>
      </c>
      <c r="M16" s="542">
        <f t="shared" si="9"/>
        <v>0</v>
      </c>
      <c r="N16" s="441">
        <f t="shared" si="9"/>
        <v>1036827</v>
      </c>
      <c r="O16" s="441">
        <f t="shared" si="9"/>
        <v>13673.380000000001</v>
      </c>
      <c r="P16" s="441">
        <f t="shared" si="9"/>
        <v>12230.35</v>
      </c>
      <c r="Q16" s="441">
        <f t="shared" si="9"/>
        <v>41882</v>
      </c>
      <c r="R16" s="441">
        <f t="shared" si="9"/>
        <v>7941.349999999999</v>
      </c>
      <c r="S16" s="441">
        <f t="shared" si="9"/>
        <v>4248.73</v>
      </c>
      <c r="T16" s="441">
        <f t="shared" si="9"/>
        <v>3648.73</v>
      </c>
      <c r="U16" s="441">
        <f t="shared" si="9"/>
        <v>0</v>
      </c>
      <c r="V16" s="441">
        <f t="shared" si="9"/>
        <v>0</v>
      </c>
      <c r="W16" s="441">
        <f t="shared" si="9"/>
        <v>0</v>
      </c>
      <c r="X16" s="441">
        <f t="shared" si="9"/>
        <v>0</v>
      </c>
      <c r="Y16" s="441">
        <f t="shared" si="9"/>
        <v>0</v>
      </c>
      <c r="Z16" s="441">
        <f t="shared" si="9"/>
        <v>0</v>
      </c>
      <c r="AA16" s="441">
        <f>AA17</f>
        <v>83624.54</v>
      </c>
      <c r="AB16" s="113">
        <f t="shared" si="6"/>
        <v>8.065428465886786</v>
      </c>
      <c r="AC16" s="441"/>
    </row>
    <row r="17" spans="1:29" s="118" customFormat="1" ht="25.5">
      <c r="A17" s="439"/>
      <c r="B17" s="439">
        <v>70005</v>
      </c>
      <c r="C17" s="439"/>
      <c r="D17" s="440" t="s">
        <v>176</v>
      </c>
      <c r="E17" s="11"/>
      <c r="F17" s="443">
        <f>SUM(F18:F22)</f>
        <v>1030267</v>
      </c>
      <c r="G17" s="546">
        <f>SUM(G18:G22)</f>
        <v>3000</v>
      </c>
      <c r="H17" s="546">
        <f aca="true" t="shared" si="10" ref="H17:M17">SUM(H18:H22)</f>
        <v>1500</v>
      </c>
      <c r="I17" s="546">
        <f t="shared" si="10"/>
        <v>2060</v>
      </c>
      <c r="J17" s="546">
        <f t="shared" si="10"/>
        <v>0</v>
      </c>
      <c r="K17" s="546">
        <f t="shared" si="10"/>
        <v>0</v>
      </c>
      <c r="L17" s="546">
        <f t="shared" si="10"/>
        <v>0</v>
      </c>
      <c r="M17" s="546">
        <f t="shared" si="10"/>
        <v>0</v>
      </c>
      <c r="N17" s="544">
        <f>SUM(N18:N22)</f>
        <v>1036827</v>
      </c>
      <c r="O17" s="443">
        <f>SUM(O18:O22)</f>
        <v>13673.380000000001</v>
      </c>
      <c r="P17" s="443">
        <f aca="true" t="shared" si="11" ref="P17:Z17">SUM(P18:P22)</f>
        <v>12230.35</v>
      </c>
      <c r="Q17" s="443">
        <f t="shared" si="11"/>
        <v>41882</v>
      </c>
      <c r="R17" s="443">
        <f t="shared" si="11"/>
        <v>7941.349999999999</v>
      </c>
      <c r="S17" s="443">
        <f t="shared" si="11"/>
        <v>4248.73</v>
      </c>
      <c r="T17" s="443">
        <f t="shared" si="11"/>
        <v>3648.73</v>
      </c>
      <c r="U17" s="443">
        <f t="shared" si="11"/>
        <v>0</v>
      </c>
      <c r="V17" s="443">
        <f t="shared" si="11"/>
        <v>0</v>
      </c>
      <c r="W17" s="443">
        <f t="shared" si="11"/>
        <v>0</v>
      </c>
      <c r="X17" s="443">
        <f t="shared" si="11"/>
        <v>0</v>
      </c>
      <c r="Y17" s="443">
        <f t="shared" si="11"/>
        <v>0</v>
      </c>
      <c r="Z17" s="443">
        <f t="shared" si="11"/>
        <v>0</v>
      </c>
      <c r="AA17" s="443">
        <f>SUM(AA18:AA22)</f>
        <v>83624.54</v>
      </c>
      <c r="AB17" s="119">
        <f t="shared" si="6"/>
        <v>8.065428465886786</v>
      </c>
      <c r="AC17" s="443"/>
    </row>
    <row r="18" spans="1:29" s="118" customFormat="1" ht="56.25">
      <c r="A18" s="439"/>
      <c r="B18" s="49"/>
      <c r="C18" s="114" t="s">
        <v>177</v>
      </c>
      <c r="D18" s="50" t="s">
        <v>178</v>
      </c>
      <c r="E18" s="4" t="s">
        <v>847</v>
      </c>
      <c r="F18" s="120">
        <f>17146+25216</f>
        <v>42362</v>
      </c>
      <c r="G18" s="545"/>
      <c r="H18" s="545"/>
      <c r="I18" s="545"/>
      <c r="J18" s="545"/>
      <c r="K18" s="545"/>
      <c r="L18" s="545"/>
      <c r="M18" s="545"/>
      <c r="N18" s="538">
        <f>F18+G18+H18+I18+J18+K18+L18+M18</f>
        <v>42362</v>
      </c>
      <c r="O18" s="120">
        <v>291.32</v>
      </c>
      <c r="P18" s="120">
        <v>174.23</v>
      </c>
      <c r="Q18" s="120">
        <v>37621.1</v>
      </c>
      <c r="R18" s="120">
        <v>1690.23</v>
      </c>
      <c r="S18" s="120"/>
      <c r="T18" s="120"/>
      <c r="U18" s="120"/>
      <c r="V18" s="120"/>
      <c r="W18" s="120"/>
      <c r="X18" s="120"/>
      <c r="Y18" s="120"/>
      <c r="Z18" s="120"/>
      <c r="AA18" s="116">
        <f>SUM(O18:Z18)</f>
        <v>39776.880000000005</v>
      </c>
      <c r="AB18" s="8">
        <f>AA18*100/N18</f>
        <v>93.8975496907606</v>
      </c>
      <c r="AC18" s="4" t="s">
        <v>87</v>
      </c>
    </row>
    <row r="19" spans="1:29" s="118" customFormat="1" ht="92.25" customHeight="1">
      <c r="A19" s="439"/>
      <c r="B19" s="49"/>
      <c r="C19" s="114" t="s">
        <v>163</v>
      </c>
      <c r="D19" s="50" t="s">
        <v>164</v>
      </c>
      <c r="E19" s="4" t="s">
        <v>848</v>
      </c>
      <c r="F19" s="120">
        <f>300+40000+21185+2600+7920</f>
        <v>72005</v>
      </c>
      <c r="G19" s="545"/>
      <c r="H19" s="545"/>
      <c r="I19" s="545"/>
      <c r="J19" s="545"/>
      <c r="K19" s="545"/>
      <c r="L19" s="545"/>
      <c r="M19" s="545"/>
      <c r="N19" s="538">
        <f>F19+G19+H19+I19+J19+K19+L19+M19</f>
        <v>72005</v>
      </c>
      <c r="O19" s="120">
        <v>7444.84</v>
      </c>
      <c r="P19" s="120">
        <v>4022.66</v>
      </c>
      <c r="Q19" s="120">
        <v>4248.73</v>
      </c>
      <c r="R19" s="120">
        <v>4248.73</v>
      </c>
      <c r="S19" s="120">
        <v>4248.73</v>
      </c>
      <c r="T19" s="120">
        <v>3648.73</v>
      </c>
      <c r="U19" s="120"/>
      <c r="V19" s="120"/>
      <c r="W19" s="120"/>
      <c r="X19" s="120"/>
      <c r="Y19" s="120"/>
      <c r="Z19" s="120"/>
      <c r="AA19" s="116">
        <f>SUM(O19:Z19)</f>
        <v>27862.42</v>
      </c>
      <c r="AB19" s="8">
        <f t="shared" si="6"/>
        <v>38.695118394555934</v>
      </c>
      <c r="AC19" s="4" t="s">
        <v>88</v>
      </c>
    </row>
    <row r="20" spans="1:29" s="118" customFormat="1" ht="62.25" customHeight="1">
      <c r="A20" s="439"/>
      <c r="B20" s="49"/>
      <c r="C20" s="114" t="s">
        <v>179</v>
      </c>
      <c r="D20" s="50" t="s">
        <v>180</v>
      </c>
      <c r="E20" s="4" t="s">
        <v>849</v>
      </c>
      <c r="F20" s="120">
        <f>12500+200000+100000+600000</f>
        <v>912500</v>
      </c>
      <c r="G20" s="545"/>
      <c r="H20" s="545"/>
      <c r="I20" s="545"/>
      <c r="J20" s="545"/>
      <c r="K20" s="545"/>
      <c r="L20" s="545"/>
      <c r="M20" s="545"/>
      <c r="N20" s="538">
        <f>F20+G20+H20+I20+J20+K20+L20+M20</f>
        <v>912500</v>
      </c>
      <c r="O20" s="120">
        <v>975.51</v>
      </c>
      <c r="P20" s="120">
        <v>5853.06</v>
      </c>
      <c r="Q20" s="120"/>
      <c r="R20" s="120">
        <v>1495</v>
      </c>
      <c r="S20" s="120"/>
      <c r="T20" s="120"/>
      <c r="U20" s="120"/>
      <c r="V20" s="120"/>
      <c r="W20" s="120"/>
      <c r="X20" s="120"/>
      <c r="Y20" s="120"/>
      <c r="Z20" s="120"/>
      <c r="AA20" s="116">
        <f>SUM(O20:Z20)</f>
        <v>8323.57</v>
      </c>
      <c r="AB20" s="8">
        <f t="shared" si="6"/>
        <v>0.9121720547945206</v>
      </c>
      <c r="AC20" s="5" t="s">
        <v>921</v>
      </c>
    </row>
    <row r="21" spans="1:29" s="118" customFormat="1" ht="25.5">
      <c r="A21" s="439"/>
      <c r="B21" s="49"/>
      <c r="C21" s="114" t="s">
        <v>181</v>
      </c>
      <c r="D21" s="50" t="s">
        <v>182</v>
      </c>
      <c r="E21" s="4"/>
      <c r="F21" s="120">
        <v>2000</v>
      </c>
      <c r="G21" s="545">
        <v>1000</v>
      </c>
      <c r="H21" s="545"/>
      <c r="I21" s="545">
        <v>1560</v>
      </c>
      <c r="J21" s="545"/>
      <c r="K21" s="545"/>
      <c r="L21" s="545"/>
      <c r="M21" s="545"/>
      <c r="N21" s="538">
        <f>F21+G21+H21+I21+J21+K21+L21+M21</f>
        <v>4560</v>
      </c>
      <c r="O21" s="120">
        <v>2343.27</v>
      </c>
      <c r="P21" s="120">
        <v>86.46</v>
      </c>
      <c r="Q21" s="120">
        <v>12.17</v>
      </c>
      <c r="R21" s="120">
        <v>120.43</v>
      </c>
      <c r="S21" s="120"/>
      <c r="T21" s="120"/>
      <c r="U21" s="120"/>
      <c r="V21" s="120"/>
      <c r="W21" s="120"/>
      <c r="X21" s="120"/>
      <c r="Y21" s="120"/>
      <c r="Z21" s="120"/>
      <c r="AA21" s="116">
        <f>SUM(O21:Z21)</f>
        <v>2562.33</v>
      </c>
      <c r="AB21" s="8">
        <f t="shared" si="6"/>
        <v>56.19144736842105</v>
      </c>
      <c r="AC21" s="4" t="s">
        <v>183</v>
      </c>
    </row>
    <row r="22" spans="1:29" s="118" customFormat="1" ht="22.5">
      <c r="A22" s="439"/>
      <c r="B22" s="49"/>
      <c r="C22" s="114" t="s">
        <v>184</v>
      </c>
      <c r="D22" s="50" t="s">
        <v>185</v>
      </c>
      <c r="E22" s="4" t="s">
        <v>186</v>
      </c>
      <c r="F22" s="120">
        <v>1400</v>
      </c>
      <c r="G22" s="545">
        <v>2000</v>
      </c>
      <c r="H22" s="545">
        <v>1500</v>
      </c>
      <c r="I22" s="545">
        <v>500</v>
      </c>
      <c r="J22" s="545"/>
      <c r="K22" s="545"/>
      <c r="L22" s="545"/>
      <c r="M22" s="545"/>
      <c r="N22" s="538">
        <f>F22+G22+H22+I22+J22+K22+L22+M22</f>
        <v>5400</v>
      </c>
      <c r="O22" s="120">
        <v>2618.44</v>
      </c>
      <c r="P22" s="120">
        <v>2093.94</v>
      </c>
      <c r="Q22" s="120"/>
      <c r="R22" s="120">
        <v>386.96</v>
      </c>
      <c r="S22" s="120"/>
      <c r="T22" s="120"/>
      <c r="U22" s="120"/>
      <c r="V22" s="120"/>
      <c r="W22" s="120"/>
      <c r="X22" s="120"/>
      <c r="Y22" s="120"/>
      <c r="Z22" s="120"/>
      <c r="AA22" s="116">
        <f>SUM(O22:Z22)</f>
        <v>5099.34</v>
      </c>
      <c r="AB22" s="8">
        <f t="shared" si="6"/>
        <v>94.43222222222222</v>
      </c>
      <c r="AC22" s="4" t="s">
        <v>186</v>
      </c>
    </row>
    <row r="23" spans="1:29" s="118" customFormat="1" ht="12.75">
      <c r="A23" s="444">
        <v>750</v>
      </c>
      <c r="B23" s="444"/>
      <c r="C23" s="444"/>
      <c r="D23" s="445" t="s">
        <v>187</v>
      </c>
      <c r="E23" s="3"/>
      <c r="F23" s="441">
        <f>F24+F27</f>
        <v>63230</v>
      </c>
      <c r="G23" s="542">
        <f>G24+G27</f>
        <v>0</v>
      </c>
      <c r="H23" s="542">
        <f aca="true" t="shared" si="12" ref="H23:M23">H24+H27</f>
        <v>0</v>
      </c>
      <c r="I23" s="542">
        <f t="shared" si="12"/>
        <v>0</v>
      </c>
      <c r="J23" s="542">
        <f t="shared" si="12"/>
        <v>0</v>
      </c>
      <c r="K23" s="542">
        <f t="shared" si="12"/>
        <v>0</v>
      </c>
      <c r="L23" s="542">
        <f t="shared" si="12"/>
        <v>0</v>
      </c>
      <c r="M23" s="542">
        <f t="shared" si="12"/>
        <v>0</v>
      </c>
      <c r="N23" s="441">
        <f>N24+N27</f>
        <v>63230</v>
      </c>
      <c r="O23" s="441">
        <f>O24+O27</f>
        <v>4982.04</v>
      </c>
      <c r="P23" s="441">
        <f aca="true" t="shared" si="13" ref="P23:Z23">P24+P27</f>
        <v>4853</v>
      </c>
      <c r="Q23" s="441">
        <f t="shared" si="13"/>
        <v>8605.83</v>
      </c>
      <c r="R23" s="441">
        <f t="shared" si="13"/>
        <v>5531</v>
      </c>
      <c r="S23" s="441">
        <f t="shared" si="13"/>
        <v>4943.02</v>
      </c>
      <c r="T23" s="441">
        <f t="shared" si="13"/>
        <v>6460.52</v>
      </c>
      <c r="U23" s="441">
        <f t="shared" si="13"/>
        <v>0</v>
      </c>
      <c r="V23" s="441">
        <f t="shared" si="13"/>
        <v>0</v>
      </c>
      <c r="W23" s="441">
        <f t="shared" si="13"/>
        <v>0</v>
      </c>
      <c r="X23" s="441">
        <f t="shared" si="13"/>
        <v>0</v>
      </c>
      <c r="Y23" s="441">
        <f t="shared" si="13"/>
        <v>0</v>
      </c>
      <c r="Z23" s="441">
        <f t="shared" si="13"/>
        <v>0</v>
      </c>
      <c r="AA23" s="441">
        <f>AA24+AA27</f>
        <v>35375.409999999996</v>
      </c>
      <c r="AB23" s="113">
        <f t="shared" si="6"/>
        <v>55.94719278823342</v>
      </c>
      <c r="AC23" s="441"/>
    </row>
    <row r="24" spans="1:29" s="118" customFormat="1" ht="16.5" customHeight="1">
      <c r="A24" s="439"/>
      <c r="B24" s="439">
        <v>75011</v>
      </c>
      <c r="C24" s="439"/>
      <c r="D24" s="440" t="s">
        <v>188</v>
      </c>
      <c r="E24" s="543"/>
      <c r="F24" s="402">
        <f>SUM(F25:F26)</f>
        <v>57900</v>
      </c>
      <c r="G24" s="442">
        <f>SUM(G25:G26)</f>
        <v>0</v>
      </c>
      <c r="H24" s="442">
        <f aca="true" t="shared" si="14" ref="H24:M24">SUM(H25:H26)</f>
        <v>0</v>
      </c>
      <c r="I24" s="442">
        <f t="shared" si="14"/>
        <v>0</v>
      </c>
      <c r="J24" s="442">
        <f t="shared" si="14"/>
        <v>0</v>
      </c>
      <c r="K24" s="442">
        <f t="shared" si="14"/>
        <v>0</v>
      </c>
      <c r="L24" s="442">
        <f t="shared" si="14"/>
        <v>0</v>
      </c>
      <c r="M24" s="442">
        <f t="shared" si="14"/>
        <v>0</v>
      </c>
      <c r="N24" s="544">
        <f>SUM(N25:N26)</f>
        <v>57900</v>
      </c>
      <c r="O24" s="402">
        <f>SUM(O25:O26)</f>
        <v>4942.04</v>
      </c>
      <c r="P24" s="402">
        <f aca="true" t="shared" si="15" ref="P24:Z24">SUM(P25:P26)</f>
        <v>4833</v>
      </c>
      <c r="Q24" s="402">
        <f t="shared" si="15"/>
        <v>4555.02</v>
      </c>
      <c r="R24" s="402">
        <f t="shared" si="15"/>
        <v>5531</v>
      </c>
      <c r="S24" s="402">
        <f t="shared" si="15"/>
        <v>4763.02</v>
      </c>
      <c r="T24" s="402">
        <f t="shared" si="15"/>
        <v>6460.52</v>
      </c>
      <c r="U24" s="402">
        <f t="shared" si="15"/>
        <v>0</v>
      </c>
      <c r="V24" s="402">
        <f t="shared" si="15"/>
        <v>0</v>
      </c>
      <c r="W24" s="402">
        <f t="shared" si="15"/>
        <v>0</v>
      </c>
      <c r="X24" s="402">
        <f t="shared" si="15"/>
        <v>0</v>
      </c>
      <c r="Y24" s="402">
        <f t="shared" si="15"/>
        <v>0</v>
      </c>
      <c r="Z24" s="402">
        <f t="shared" si="15"/>
        <v>0</v>
      </c>
      <c r="AA24" s="402">
        <f>SUM(AA25:AA26)</f>
        <v>31084.6</v>
      </c>
      <c r="AB24" s="119">
        <f t="shared" si="6"/>
        <v>53.686701208981</v>
      </c>
      <c r="AC24" s="402"/>
    </row>
    <row r="25" spans="1:29" s="118" customFormat="1" ht="67.5">
      <c r="A25" s="439"/>
      <c r="B25" s="49"/>
      <c r="C25" s="49">
        <v>2010</v>
      </c>
      <c r="D25" s="50" t="s">
        <v>165</v>
      </c>
      <c r="E25" s="4" t="s">
        <v>850</v>
      </c>
      <c r="F25" s="120">
        <v>57000</v>
      </c>
      <c r="G25" s="545"/>
      <c r="H25" s="545"/>
      <c r="I25" s="545"/>
      <c r="J25" s="545"/>
      <c r="K25" s="545"/>
      <c r="L25" s="545"/>
      <c r="M25" s="545"/>
      <c r="N25" s="538">
        <f>F25+G25+H25+I25+J25+K25+L25+M25</f>
        <v>57000</v>
      </c>
      <c r="O25" s="120">
        <v>4846</v>
      </c>
      <c r="P25" s="120">
        <v>4770</v>
      </c>
      <c r="Q25" s="120">
        <v>4486</v>
      </c>
      <c r="R25" s="120">
        <v>5459</v>
      </c>
      <c r="S25" s="120">
        <v>4694</v>
      </c>
      <c r="T25" s="120">
        <v>6408</v>
      </c>
      <c r="U25" s="120"/>
      <c r="V25" s="120"/>
      <c r="W25" s="120"/>
      <c r="X25" s="120"/>
      <c r="Y25" s="120"/>
      <c r="Z25" s="120"/>
      <c r="AA25" s="116">
        <f>SUM(O25:Z25)</f>
        <v>30663</v>
      </c>
      <c r="AB25" s="8">
        <f t="shared" si="6"/>
        <v>53.794736842105266</v>
      </c>
      <c r="AC25" s="4" t="s">
        <v>922</v>
      </c>
    </row>
    <row r="26" spans="1:29" s="118" customFormat="1" ht="67.5">
      <c r="A26" s="439"/>
      <c r="B26" s="49"/>
      <c r="C26" s="49">
        <v>2360</v>
      </c>
      <c r="D26" s="50" t="s">
        <v>355</v>
      </c>
      <c r="E26" s="4" t="s">
        <v>851</v>
      </c>
      <c r="F26" s="120">
        <v>900</v>
      </c>
      <c r="G26" s="545"/>
      <c r="H26" s="545"/>
      <c r="I26" s="545"/>
      <c r="J26" s="545"/>
      <c r="K26" s="545"/>
      <c r="L26" s="545"/>
      <c r="M26" s="545"/>
      <c r="N26" s="538">
        <f>F26+G26+H26+I26+J26+K26+L26+M26</f>
        <v>900</v>
      </c>
      <c r="O26" s="120">
        <v>96.04</v>
      </c>
      <c r="P26" s="120">
        <v>63</v>
      </c>
      <c r="Q26" s="120">
        <v>69.02</v>
      </c>
      <c r="R26" s="120">
        <v>72</v>
      </c>
      <c r="S26" s="120">
        <v>69.02</v>
      </c>
      <c r="T26" s="120">
        <v>52.52</v>
      </c>
      <c r="U26" s="120"/>
      <c r="V26" s="120"/>
      <c r="W26" s="120"/>
      <c r="X26" s="120"/>
      <c r="Y26" s="120"/>
      <c r="Z26" s="120"/>
      <c r="AA26" s="116">
        <f>SUM(O26:Z26)</f>
        <v>421.59999999999997</v>
      </c>
      <c r="AB26" s="8">
        <f t="shared" si="6"/>
        <v>46.84444444444444</v>
      </c>
      <c r="AC26" s="4" t="s">
        <v>923</v>
      </c>
    </row>
    <row r="27" spans="1:29" s="118" customFormat="1" ht="16.5" customHeight="1">
      <c r="A27" s="439"/>
      <c r="B27" s="439">
        <v>75023</v>
      </c>
      <c r="C27" s="439"/>
      <c r="D27" s="440" t="s">
        <v>356</v>
      </c>
      <c r="E27" s="543"/>
      <c r="F27" s="402">
        <f>SUM(F28:F29)</f>
        <v>5330</v>
      </c>
      <c r="G27" s="442">
        <f>SUM(G28:G29)</f>
        <v>0</v>
      </c>
      <c r="H27" s="442">
        <f aca="true" t="shared" si="16" ref="H27:M27">SUM(H28:H29)</f>
        <v>0</v>
      </c>
      <c r="I27" s="442">
        <f t="shared" si="16"/>
        <v>0</v>
      </c>
      <c r="J27" s="442">
        <f t="shared" si="16"/>
        <v>0</v>
      </c>
      <c r="K27" s="442">
        <f t="shared" si="16"/>
        <v>0</v>
      </c>
      <c r="L27" s="442">
        <f t="shared" si="16"/>
        <v>0</v>
      </c>
      <c r="M27" s="442">
        <f t="shared" si="16"/>
        <v>0</v>
      </c>
      <c r="N27" s="544">
        <f>SUM(N28:N29)</f>
        <v>5330</v>
      </c>
      <c r="O27" s="402">
        <f>SUM(O28:O29)</f>
        <v>40</v>
      </c>
      <c r="P27" s="402">
        <f aca="true" t="shared" si="17" ref="P27:Z27">SUM(P28:P29)</f>
        <v>20</v>
      </c>
      <c r="Q27" s="402">
        <f t="shared" si="17"/>
        <v>4050.81</v>
      </c>
      <c r="R27" s="402">
        <f t="shared" si="17"/>
        <v>0</v>
      </c>
      <c r="S27" s="402">
        <f t="shared" si="17"/>
        <v>180</v>
      </c>
      <c r="T27" s="402">
        <f t="shared" si="17"/>
        <v>0</v>
      </c>
      <c r="U27" s="402">
        <f t="shared" si="17"/>
        <v>0</v>
      </c>
      <c r="V27" s="402">
        <f t="shared" si="17"/>
        <v>0</v>
      </c>
      <c r="W27" s="402">
        <f t="shared" si="17"/>
        <v>0</v>
      </c>
      <c r="X27" s="402">
        <f t="shared" si="17"/>
        <v>0</v>
      </c>
      <c r="Y27" s="402">
        <f t="shared" si="17"/>
        <v>0</v>
      </c>
      <c r="Z27" s="402">
        <f t="shared" si="17"/>
        <v>0</v>
      </c>
      <c r="AA27" s="402">
        <f>SUM(AA28:AA29)</f>
        <v>4290.8099999999995</v>
      </c>
      <c r="AB27" s="119">
        <f t="shared" si="6"/>
        <v>80.5030018761726</v>
      </c>
      <c r="AC27" s="402"/>
    </row>
    <row r="28" spans="1:29" s="118" customFormat="1" ht="27.75" customHeight="1">
      <c r="A28" s="49"/>
      <c r="B28" s="49"/>
      <c r="C28" s="114" t="s">
        <v>852</v>
      </c>
      <c r="D28" s="50" t="s">
        <v>853</v>
      </c>
      <c r="E28" s="4" t="s">
        <v>854</v>
      </c>
      <c r="F28" s="120">
        <v>3830</v>
      </c>
      <c r="G28" s="545"/>
      <c r="H28" s="545"/>
      <c r="I28" s="545"/>
      <c r="J28" s="545"/>
      <c r="K28" s="545"/>
      <c r="L28" s="545"/>
      <c r="M28" s="545"/>
      <c r="N28" s="538">
        <f>F28+G28+H28+I28+J28+K28+L28+M28</f>
        <v>3830</v>
      </c>
      <c r="O28" s="120"/>
      <c r="P28" s="120"/>
      <c r="Q28" s="120">
        <v>3830.81</v>
      </c>
      <c r="R28" s="120"/>
      <c r="S28" s="120"/>
      <c r="T28" s="120"/>
      <c r="U28" s="120"/>
      <c r="V28" s="120"/>
      <c r="W28" s="120"/>
      <c r="X28" s="120"/>
      <c r="Y28" s="120"/>
      <c r="Z28" s="120"/>
      <c r="AA28" s="116">
        <f>SUM(O28:Z28)</f>
        <v>3830.81</v>
      </c>
      <c r="AB28" s="8">
        <f>AA28*100/N28</f>
        <v>100.02114882506527</v>
      </c>
      <c r="AC28" s="4" t="s">
        <v>854</v>
      </c>
    </row>
    <row r="29" spans="1:29" s="118" customFormat="1" ht="22.5">
      <c r="A29" s="49"/>
      <c r="B29" s="49"/>
      <c r="C29" s="114" t="s">
        <v>357</v>
      </c>
      <c r="D29" s="50" t="s">
        <v>358</v>
      </c>
      <c r="E29" s="4" t="s">
        <v>855</v>
      </c>
      <c r="F29" s="120">
        <v>1500</v>
      </c>
      <c r="G29" s="545"/>
      <c r="H29" s="545"/>
      <c r="I29" s="545"/>
      <c r="J29" s="545"/>
      <c r="K29" s="545"/>
      <c r="L29" s="545"/>
      <c r="M29" s="545"/>
      <c r="N29" s="538">
        <f>F29+G29+H29+I29+J29+K29+L29+M29</f>
        <v>1500</v>
      </c>
      <c r="O29" s="120">
        <v>40</v>
      </c>
      <c r="P29" s="120">
        <v>20</v>
      </c>
      <c r="Q29" s="120">
        <v>220</v>
      </c>
      <c r="R29" s="120"/>
      <c r="S29" s="120">
        <v>180</v>
      </c>
      <c r="T29" s="120"/>
      <c r="U29" s="120"/>
      <c r="V29" s="120"/>
      <c r="W29" s="120"/>
      <c r="X29" s="120"/>
      <c r="Y29" s="120"/>
      <c r="Z29" s="120"/>
      <c r="AA29" s="116">
        <f>SUM(O29:Z29)</f>
        <v>460</v>
      </c>
      <c r="AB29" s="8">
        <f>AA29*100/N29</f>
        <v>30.666666666666668</v>
      </c>
      <c r="AC29" s="4" t="s">
        <v>924</v>
      </c>
    </row>
    <row r="30" spans="1:29" s="118" customFormat="1" ht="42.75" customHeight="1">
      <c r="A30" s="444">
        <v>751</v>
      </c>
      <c r="B30" s="447"/>
      <c r="C30" s="447"/>
      <c r="D30" s="445" t="s">
        <v>359</v>
      </c>
      <c r="E30" s="3"/>
      <c r="F30" s="441">
        <f>F31+F33+F35</f>
        <v>1160</v>
      </c>
      <c r="G30" s="547">
        <f>G31+G33+G35</f>
        <v>-56</v>
      </c>
      <c r="H30" s="542">
        <f aca="true" t="shared" si="18" ref="H30:M30">H31+H33+H35</f>
        <v>0</v>
      </c>
      <c r="I30" s="542">
        <f t="shared" si="18"/>
        <v>0</v>
      </c>
      <c r="J30" s="542">
        <f t="shared" si="18"/>
        <v>0</v>
      </c>
      <c r="K30" s="542">
        <f t="shared" si="18"/>
        <v>0</v>
      </c>
      <c r="L30" s="542">
        <f t="shared" si="18"/>
        <v>0</v>
      </c>
      <c r="M30" s="542">
        <f t="shared" si="18"/>
        <v>0</v>
      </c>
      <c r="N30" s="441">
        <f>N31+N33+N35</f>
        <v>1104</v>
      </c>
      <c r="O30" s="441">
        <f>O31</f>
        <v>97</v>
      </c>
      <c r="P30" s="441">
        <f aca="true" t="shared" si="19" ref="P30:Z30">P31+P33+P35</f>
        <v>97</v>
      </c>
      <c r="Q30" s="441">
        <f t="shared" si="19"/>
        <v>97</v>
      </c>
      <c r="R30" s="441">
        <f t="shared" si="19"/>
        <v>90</v>
      </c>
      <c r="S30" s="441">
        <f t="shared" si="19"/>
        <v>90</v>
      </c>
      <c r="T30" s="441">
        <f t="shared" si="19"/>
        <v>90</v>
      </c>
      <c r="U30" s="441">
        <f t="shared" si="19"/>
        <v>0</v>
      </c>
      <c r="V30" s="441">
        <f t="shared" si="19"/>
        <v>0</v>
      </c>
      <c r="W30" s="441">
        <f t="shared" si="19"/>
        <v>0</v>
      </c>
      <c r="X30" s="441">
        <f t="shared" si="19"/>
        <v>0</v>
      </c>
      <c r="Y30" s="441">
        <f t="shared" si="19"/>
        <v>0</v>
      </c>
      <c r="Z30" s="441">
        <f t="shared" si="19"/>
        <v>0</v>
      </c>
      <c r="AA30" s="441">
        <f>AA31+AA33+AA35</f>
        <v>561</v>
      </c>
      <c r="AB30" s="113">
        <f t="shared" si="6"/>
        <v>50.81521739130435</v>
      </c>
      <c r="AC30" s="441"/>
    </row>
    <row r="31" spans="1:29" s="123" customFormat="1" ht="38.25">
      <c r="A31" s="121"/>
      <c r="B31" s="121">
        <v>75101</v>
      </c>
      <c r="C31" s="121"/>
      <c r="D31" s="122" t="s">
        <v>360</v>
      </c>
      <c r="E31" s="11"/>
      <c r="F31" s="443">
        <f aca="true" t="shared" si="20" ref="F31:AA31">F32</f>
        <v>1160</v>
      </c>
      <c r="G31" s="548">
        <f t="shared" si="20"/>
        <v>-56</v>
      </c>
      <c r="H31" s="546">
        <f t="shared" si="20"/>
        <v>0</v>
      </c>
      <c r="I31" s="546">
        <f t="shared" si="20"/>
        <v>0</v>
      </c>
      <c r="J31" s="546">
        <f t="shared" si="20"/>
        <v>0</v>
      </c>
      <c r="K31" s="546">
        <f t="shared" si="20"/>
        <v>0</v>
      </c>
      <c r="L31" s="546">
        <f t="shared" si="20"/>
        <v>0</v>
      </c>
      <c r="M31" s="546">
        <f t="shared" si="20"/>
        <v>0</v>
      </c>
      <c r="N31" s="544">
        <f>N32</f>
        <v>1104</v>
      </c>
      <c r="O31" s="443">
        <f t="shared" si="20"/>
        <v>97</v>
      </c>
      <c r="P31" s="443">
        <f t="shared" si="20"/>
        <v>97</v>
      </c>
      <c r="Q31" s="443">
        <f t="shared" si="20"/>
        <v>97</v>
      </c>
      <c r="R31" s="443">
        <f t="shared" si="20"/>
        <v>90</v>
      </c>
      <c r="S31" s="443">
        <f t="shared" si="20"/>
        <v>90</v>
      </c>
      <c r="T31" s="443">
        <f t="shared" si="20"/>
        <v>90</v>
      </c>
      <c r="U31" s="443">
        <f t="shared" si="20"/>
        <v>0</v>
      </c>
      <c r="V31" s="443">
        <f t="shared" si="20"/>
        <v>0</v>
      </c>
      <c r="W31" s="443">
        <f t="shared" si="20"/>
        <v>0</v>
      </c>
      <c r="X31" s="443">
        <f t="shared" si="20"/>
        <v>0</v>
      </c>
      <c r="Y31" s="443">
        <f t="shared" si="20"/>
        <v>0</v>
      </c>
      <c r="Z31" s="443">
        <f t="shared" si="20"/>
        <v>0</v>
      </c>
      <c r="AA31" s="443">
        <f t="shared" si="20"/>
        <v>561</v>
      </c>
      <c r="AB31" s="536">
        <f t="shared" si="6"/>
        <v>50.81521739130435</v>
      </c>
      <c r="AC31" s="443"/>
    </row>
    <row r="32" spans="1:29" s="123" customFormat="1" ht="67.5">
      <c r="A32" s="121"/>
      <c r="B32" s="448"/>
      <c r="C32" s="49">
        <v>2010</v>
      </c>
      <c r="D32" s="50" t="s">
        <v>165</v>
      </c>
      <c r="E32" s="6" t="s">
        <v>856</v>
      </c>
      <c r="F32" s="124">
        <v>1160</v>
      </c>
      <c r="G32" s="549">
        <v>-56</v>
      </c>
      <c r="H32" s="449"/>
      <c r="I32" s="449"/>
      <c r="J32" s="449"/>
      <c r="K32" s="449"/>
      <c r="L32" s="449"/>
      <c r="M32" s="449"/>
      <c r="N32" s="538">
        <f>F32+G32+H32+I32+J32+K32+L32+M32</f>
        <v>1104</v>
      </c>
      <c r="O32" s="124">
        <v>97</v>
      </c>
      <c r="P32" s="124">
        <v>97</v>
      </c>
      <c r="Q32" s="124">
        <v>97</v>
      </c>
      <c r="R32" s="124">
        <v>90</v>
      </c>
      <c r="S32" s="124">
        <v>90</v>
      </c>
      <c r="T32" s="124">
        <v>90</v>
      </c>
      <c r="U32" s="124"/>
      <c r="V32" s="124"/>
      <c r="W32" s="124"/>
      <c r="X32" s="124"/>
      <c r="Y32" s="124"/>
      <c r="Z32" s="124"/>
      <c r="AA32" s="116">
        <f>SUM(O32:Z32)</f>
        <v>561</v>
      </c>
      <c r="AB32" s="8">
        <f>AA32*100/N32</f>
        <v>50.81521739130435</v>
      </c>
      <c r="AC32" s="6" t="s">
        <v>925</v>
      </c>
    </row>
    <row r="33" spans="1:29" s="123" customFormat="1" ht="19.5" customHeight="1" hidden="1">
      <c r="A33" s="121"/>
      <c r="B33" s="125">
        <v>75107</v>
      </c>
      <c r="C33" s="49"/>
      <c r="D33" s="126" t="s">
        <v>361</v>
      </c>
      <c r="E33" s="6"/>
      <c r="F33" s="443">
        <f aca="true" t="shared" si="21" ref="F33:Z33">F34</f>
        <v>0</v>
      </c>
      <c r="G33" s="546">
        <f t="shared" si="21"/>
        <v>0</v>
      </c>
      <c r="H33" s="546">
        <f t="shared" si="21"/>
        <v>0</v>
      </c>
      <c r="I33" s="546">
        <f t="shared" si="21"/>
        <v>0</v>
      </c>
      <c r="J33" s="546">
        <f t="shared" si="21"/>
        <v>0</v>
      </c>
      <c r="K33" s="546">
        <f t="shared" si="21"/>
        <v>0</v>
      </c>
      <c r="L33" s="546">
        <f t="shared" si="21"/>
        <v>0</v>
      </c>
      <c r="M33" s="546">
        <f t="shared" si="21"/>
        <v>0</v>
      </c>
      <c r="N33" s="534">
        <f t="shared" si="21"/>
        <v>0</v>
      </c>
      <c r="O33" s="443">
        <f t="shared" si="21"/>
        <v>0</v>
      </c>
      <c r="P33" s="443">
        <f t="shared" si="21"/>
        <v>0</v>
      </c>
      <c r="Q33" s="443">
        <f t="shared" si="21"/>
        <v>0</v>
      </c>
      <c r="R33" s="443">
        <f t="shared" si="21"/>
        <v>0</v>
      </c>
      <c r="S33" s="443">
        <f t="shared" si="21"/>
        <v>0</v>
      </c>
      <c r="T33" s="443">
        <f t="shared" si="21"/>
        <v>0</v>
      </c>
      <c r="U33" s="443">
        <f t="shared" si="21"/>
        <v>0</v>
      </c>
      <c r="V33" s="443">
        <f t="shared" si="21"/>
        <v>0</v>
      </c>
      <c r="W33" s="443">
        <f t="shared" si="21"/>
        <v>0</v>
      </c>
      <c r="X33" s="443">
        <f t="shared" si="21"/>
        <v>0</v>
      </c>
      <c r="Y33" s="443">
        <f t="shared" si="21"/>
        <v>0</v>
      </c>
      <c r="Z33" s="443">
        <f t="shared" si="21"/>
        <v>0</v>
      </c>
      <c r="AA33" s="508">
        <f>AA34</f>
        <v>0</v>
      </c>
      <c r="AB33" s="536" t="e">
        <f t="shared" si="6"/>
        <v>#DIV/0!</v>
      </c>
      <c r="AC33" s="508"/>
    </row>
    <row r="34" spans="1:29" s="123" customFormat="1" ht="51" customHeight="1" hidden="1">
      <c r="A34" s="121"/>
      <c r="B34" s="448"/>
      <c r="C34" s="49">
        <v>2010</v>
      </c>
      <c r="D34" s="50" t="s">
        <v>165</v>
      </c>
      <c r="E34" s="6"/>
      <c r="F34" s="124"/>
      <c r="G34" s="449"/>
      <c r="H34" s="449"/>
      <c r="I34" s="449"/>
      <c r="J34" s="449"/>
      <c r="K34" s="449"/>
      <c r="L34" s="449"/>
      <c r="M34" s="449"/>
      <c r="N34" s="538">
        <f>F34+G34+H34+I34+J34+K34+L34</f>
        <v>0</v>
      </c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16">
        <f>SUM(O34:Z34)</f>
        <v>0</v>
      </c>
      <c r="AB34" s="8" t="e">
        <f>AA34*100/N34</f>
        <v>#DIV/0!</v>
      </c>
      <c r="AC34" s="116"/>
    </row>
    <row r="35" spans="1:29" s="123" customFormat="1" ht="12.75" customHeight="1" hidden="1">
      <c r="A35" s="121"/>
      <c r="B35" s="125">
        <v>75108</v>
      </c>
      <c r="C35" s="49"/>
      <c r="D35" s="126" t="s">
        <v>362</v>
      </c>
      <c r="E35" s="6"/>
      <c r="F35" s="443">
        <f aca="true" t="shared" si="22" ref="F35:Z35">F36</f>
        <v>0</v>
      </c>
      <c r="G35" s="546">
        <f t="shared" si="22"/>
        <v>0</v>
      </c>
      <c r="H35" s="546">
        <f t="shared" si="22"/>
        <v>0</v>
      </c>
      <c r="I35" s="546">
        <f t="shared" si="22"/>
        <v>0</v>
      </c>
      <c r="J35" s="546">
        <f t="shared" si="22"/>
        <v>0</v>
      </c>
      <c r="K35" s="546">
        <f t="shared" si="22"/>
        <v>0</v>
      </c>
      <c r="L35" s="546">
        <f t="shared" si="22"/>
        <v>0</v>
      </c>
      <c r="M35" s="546">
        <f t="shared" si="22"/>
        <v>0</v>
      </c>
      <c r="N35" s="534">
        <f t="shared" si="22"/>
        <v>0</v>
      </c>
      <c r="O35" s="443">
        <f t="shared" si="22"/>
        <v>0</v>
      </c>
      <c r="P35" s="443">
        <f t="shared" si="22"/>
        <v>0</v>
      </c>
      <c r="Q35" s="443">
        <f t="shared" si="22"/>
        <v>0</v>
      </c>
      <c r="R35" s="443">
        <f t="shared" si="22"/>
        <v>0</v>
      </c>
      <c r="S35" s="443">
        <f t="shared" si="22"/>
        <v>0</v>
      </c>
      <c r="T35" s="443">
        <f t="shared" si="22"/>
        <v>0</v>
      </c>
      <c r="U35" s="443">
        <f t="shared" si="22"/>
        <v>0</v>
      </c>
      <c r="V35" s="443">
        <f t="shared" si="22"/>
        <v>0</v>
      </c>
      <c r="W35" s="443">
        <f t="shared" si="22"/>
        <v>0</v>
      </c>
      <c r="X35" s="443">
        <f t="shared" si="22"/>
        <v>0</v>
      </c>
      <c r="Y35" s="443">
        <f t="shared" si="22"/>
        <v>0</v>
      </c>
      <c r="Z35" s="443">
        <f t="shared" si="22"/>
        <v>0</v>
      </c>
      <c r="AA35" s="508">
        <f>AA36</f>
        <v>0</v>
      </c>
      <c r="AB35" s="536" t="e">
        <f t="shared" si="6"/>
        <v>#DIV/0!</v>
      </c>
      <c r="AC35" s="508"/>
    </row>
    <row r="36" spans="1:29" s="123" customFormat="1" ht="51" customHeight="1" hidden="1">
      <c r="A36" s="121"/>
      <c r="B36" s="448"/>
      <c r="C36" s="49">
        <v>2010</v>
      </c>
      <c r="D36" s="50" t="s">
        <v>165</v>
      </c>
      <c r="E36" s="6"/>
      <c r="F36" s="124"/>
      <c r="G36" s="449"/>
      <c r="H36" s="449"/>
      <c r="I36" s="449"/>
      <c r="J36" s="449"/>
      <c r="K36" s="449"/>
      <c r="L36" s="449"/>
      <c r="M36" s="449"/>
      <c r="N36" s="538">
        <f>F36+G36+H36+I36+J36+K36+L36+M36</f>
        <v>0</v>
      </c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16">
        <f>SUM(O36:Z36)</f>
        <v>0</v>
      </c>
      <c r="AB36" s="8" t="e">
        <f>AA36*100/N36</f>
        <v>#DIV/0!</v>
      </c>
      <c r="AC36" s="116"/>
    </row>
    <row r="37" spans="1:29" s="118" customFormat="1" ht="25.5" customHeight="1" hidden="1">
      <c r="A37" s="444">
        <v>754</v>
      </c>
      <c r="B37" s="444"/>
      <c r="C37" s="444"/>
      <c r="D37" s="445" t="s">
        <v>363</v>
      </c>
      <c r="E37" s="3"/>
      <c r="F37" s="441">
        <f aca="true" t="shared" si="23" ref="F37:Z37">F38</f>
        <v>0</v>
      </c>
      <c r="G37" s="542">
        <f t="shared" si="23"/>
        <v>0</v>
      </c>
      <c r="H37" s="542">
        <f t="shared" si="23"/>
        <v>0</v>
      </c>
      <c r="I37" s="542">
        <f t="shared" si="23"/>
        <v>0</v>
      </c>
      <c r="J37" s="542">
        <f t="shared" si="23"/>
        <v>0</v>
      </c>
      <c r="K37" s="542">
        <f t="shared" si="23"/>
        <v>0</v>
      </c>
      <c r="L37" s="542">
        <f t="shared" si="23"/>
        <v>0</v>
      </c>
      <c r="M37" s="542">
        <f t="shared" si="23"/>
        <v>0</v>
      </c>
      <c r="N37" s="441">
        <f t="shared" si="23"/>
        <v>0</v>
      </c>
      <c r="O37" s="441">
        <f t="shared" si="23"/>
        <v>0</v>
      </c>
      <c r="P37" s="441">
        <f t="shared" si="23"/>
        <v>0</v>
      </c>
      <c r="Q37" s="441">
        <f t="shared" si="23"/>
        <v>0</v>
      </c>
      <c r="R37" s="441">
        <f t="shared" si="23"/>
        <v>0</v>
      </c>
      <c r="S37" s="441">
        <f t="shared" si="23"/>
        <v>0</v>
      </c>
      <c r="T37" s="441">
        <f t="shared" si="23"/>
        <v>0</v>
      </c>
      <c r="U37" s="441">
        <f t="shared" si="23"/>
        <v>0</v>
      </c>
      <c r="V37" s="441">
        <f t="shared" si="23"/>
        <v>0</v>
      </c>
      <c r="W37" s="441">
        <f t="shared" si="23"/>
        <v>0</v>
      </c>
      <c r="X37" s="441">
        <f t="shared" si="23"/>
        <v>0</v>
      </c>
      <c r="Y37" s="441">
        <f t="shared" si="23"/>
        <v>0</v>
      </c>
      <c r="Z37" s="441">
        <f t="shared" si="23"/>
        <v>0</v>
      </c>
      <c r="AA37" s="441">
        <f>AA38</f>
        <v>0</v>
      </c>
      <c r="AB37" s="113" t="e">
        <f t="shared" si="6"/>
        <v>#DIV/0!</v>
      </c>
      <c r="AC37" s="441"/>
    </row>
    <row r="38" spans="1:29" s="118" customFormat="1" ht="16.5" customHeight="1" hidden="1">
      <c r="A38" s="439"/>
      <c r="B38" s="439">
        <v>75414</v>
      </c>
      <c r="C38" s="439"/>
      <c r="D38" s="440" t="s">
        <v>364</v>
      </c>
      <c r="E38" s="543"/>
      <c r="F38" s="402">
        <f aca="true" t="shared" si="24" ref="F38:Z38">SUM(F39)</f>
        <v>0</v>
      </c>
      <c r="G38" s="442">
        <f t="shared" si="24"/>
        <v>0</v>
      </c>
      <c r="H38" s="442">
        <f t="shared" si="24"/>
        <v>0</v>
      </c>
      <c r="I38" s="442">
        <f t="shared" si="24"/>
        <v>0</v>
      </c>
      <c r="J38" s="442">
        <f t="shared" si="24"/>
        <v>0</v>
      </c>
      <c r="K38" s="442">
        <f t="shared" si="24"/>
        <v>0</v>
      </c>
      <c r="L38" s="442">
        <f t="shared" si="24"/>
        <v>0</v>
      </c>
      <c r="M38" s="442">
        <f t="shared" si="24"/>
        <v>0</v>
      </c>
      <c r="N38" s="544">
        <f t="shared" si="24"/>
        <v>0</v>
      </c>
      <c r="O38" s="402">
        <f t="shared" si="24"/>
        <v>0</v>
      </c>
      <c r="P38" s="402">
        <f t="shared" si="24"/>
        <v>0</v>
      </c>
      <c r="Q38" s="402">
        <f t="shared" si="24"/>
        <v>0</v>
      </c>
      <c r="R38" s="402">
        <f t="shared" si="24"/>
        <v>0</v>
      </c>
      <c r="S38" s="402">
        <f t="shared" si="24"/>
        <v>0</v>
      </c>
      <c r="T38" s="402">
        <f t="shared" si="24"/>
        <v>0</v>
      </c>
      <c r="U38" s="402">
        <f t="shared" si="24"/>
        <v>0</v>
      </c>
      <c r="V38" s="402">
        <f t="shared" si="24"/>
        <v>0</v>
      </c>
      <c r="W38" s="402">
        <f t="shared" si="24"/>
        <v>0</v>
      </c>
      <c r="X38" s="402">
        <f t="shared" si="24"/>
        <v>0</v>
      </c>
      <c r="Y38" s="402">
        <f t="shared" si="24"/>
        <v>0</v>
      </c>
      <c r="Z38" s="402">
        <f t="shared" si="24"/>
        <v>0</v>
      </c>
      <c r="AA38" s="402">
        <f>SUM(AA39)</f>
        <v>0</v>
      </c>
      <c r="AB38" s="119" t="e">
        <f t="shared" si="6"/>
        <v>#DIV/0!</v>
      </c>
      <c r="AC38" s="402"/>
    </row>
    <row r="39" spans="1:29" s="118" customFormat="1" ht="60.75" customHeight="1" hidden="1">
      <c r="A39" s="439"/>
      <c r="B39" s="49"/>
      <c r="C39" s="49">
        <v>2010</v>
      </c>
      <c r="D39" s="50" t="s">
        <v>165</v>
      </c>
      <c r="E39" s="4" t="s">
        <v>857</v>
      </c>
      <c r="F39" s="120"/>
      <c r="G39" s="545"/>
      <c r="H39" s="545"/>
      <c r="I39" s="545"/>
      <c r="J39" s="545"/>
      <c r="K39" s="545"/>
      <c r="L39" s="545"/>
      <c r="M39" s="545"/>
      <c r="N39" s="538">
        <f>F39+G39+H39+I39+J39+K39+L39+M39</f>
        <v>0</v>
      </c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16">
        <f>SUM(O39:Z39)</f>
        <v>0</v>
      </c>
      <c r="AB39" s="8" t="e">
        <f t="shared" si="6"/>
        <v>#DIV/0!</v>
      </c>
      <c r="AC39" s="116"/>
    </row>
    <row r="40" spans="1:29" s="118" customFormat="1" ht="63.75">
      <c r="A40" s="444">
        <v>756</v>
      </c>
      <c r="B40" s="444"/>
      <c r="C40" s="444"/>
      <c r="D40" s="445" t="s">
        <v>443</v>
      </c>
      <c r="E40" s="3"/>
      <c r="F40" s="441">
        <f aca="true" t="shared" si="25" ref="F40:AA40">F41+F52+F61+F67+F44</f>
        <v>8136339</v>
      </c>
      <c r="G40" s="542">
        <f t="shared" si="25"/>
        <v>72963</v>
      </c>
      <c r="H40" s="542">
        <f t="shared" si="25"/>
        <v>0</v>
      </c>
      <c r="I40" s="542">
        <f t="shared" si="25"/>
        <v>134834</v>
      </c>
      <c r="J40" s="542">
        <f t="shared" si="25"/>
        <v>0</v>
      </c>
      <c r="K40" s="542">
        <f t="shared" si="25"/>
        <v>0</v>
      </c>
      <c r="L40" s="542">
        <f t="shared" si="25"/>
        <v>0</v>
      </c>
      <c r="M40" s="542">
        <f t="shared" si="25"/>
        <v>0</v>
      </c>
      <c r="N40" s="441">
        <f t="shared" si="25"/>
        <v>8344136</v>
      </c>
      <c r="O40" s="441">
        <f t="shared" si="25"/>
        <v>289184.41</v>
      </c>
      <c r="P40" s="441">
        <f t="shared" si="25"/>
        <v>519575.89</v>
      </c>
      <c r="Q40" s="441">
        <f t="shared" si="25"/>
        <v>1066910.72</v>
      </c>
      <c r="R40" s="441">
        <f t="shared" si="25"/>
        <v>505591.83999999997</v>
      </c>
      <c r="S40" s="441">
        <f t="shared" si="25"/>
        <v>965064.8499999999</v>
      </c>
      <c r="T40" s="441">
        <f t="shared" si="25"/>
        <v>599261.04</v>
      </c>
      <c r="U40" s="441">
        <f t="shared" si="25"/>
        <v>168899.47</v>
      </c>
      <c r="V40" s="441">
        <f t="shared" si="25"/>
        <v>0</v>
      </c>
      <c r="W40" s="441">
        <f t="shared" si="25"/>
        <v>0</v>
      </c>
      <c r="X40" s="441">
        <f t="shared" si="25"/>
        <v>0</v>
      </c>
      <c r="Y40" s="441">
        <f t="shared" si="25"/>
        <v>0</v>
      </c>
      <c r="Z40" s="441">
        <f t="shared" si="25"/>
        <v>0</v>
      </c>
      <c r="AA40" s="441">
        <f t="shared" si="25"/>
        <v>4114488.2200000007</v>
      </c>
      <c r="AB40" s="113">
        <f t="shared" si="6"/>
        <v>49.309937182231934</v>
      </c>
      <c r="AC40" s="441"/>
    </row>
    <row r="41" spans="1:29" s="123" customFormat="1" ht="33" customHeight="1">
      <c r="A41" s="121"/>
      <c r="B41" s="121">
        <v>75601</v>
      </c>
      <c r="C41" s="121"/>
      <c r="D41" s="122" t="s">
        <v>444</v>
      </c>
      <c r="E41" s="11"/>
      <c r="F41" s="443">
        <f>F42+F43</f>
        <v>3600</v>
      </c>
      <c r="G41" s="546">
        <f>G42+G43</f>
        <v>0</v>
      </c>
      <c r="H41" s="546">
        <f aca="true" t="shared" si="26" ref="H41:M41">H42+H43</f>
        <v>0</v>
      </c>
      <c r="I41" s="546">
        <f t="shared" si="26"/>
        <v>0</v>
      </c>
      <c r="J41" s="546">
        <f t="shared" si="26"/>
        <v>0</v>
      </c>
      <c r="K41" s="546">
        <f t="shared" si="26"/>
        <v>0</v>
      </c>
      <c r="L41" s="546">
        <f t="shared" si="26"/>
        <v>0</v>
      </c>
      <c r="M41" s="546">
        <f t="shared" si="26"/>
        <v>0</v>
      </c>
      <c r="N41" s="544">
        <f>SUM(N42:N43)</f>
        <v>3600</v>
      </c>
      <c r="O41" s="443">
        <f>O42+O43</f>
        <v>523</v>
      </c>
      <c r="P41" s="443">
        <f aca="true" t="shared" si="27" ref="P41:Z41">P42+P43</f>
        <v>705</v>
      </c>
      <c r="Q41" s="443">
        <f t="shared" si="27"/>
        <v>406</v>
      </c>
      <c r="R41" s="443">
        <f t="shared" si="27"/>
        <v>332.84999999999997</v>
      </c>
      <c r="S41" s="443">
        <f t="shared" si="27"/>
        <v>321</v>
      </c>
      <c r="T41" s="443">
        <f t="shared" si="27"/>
        <v>325</v>
      </c>
      <c r="U41" s="443">
        <f t="shared" si="27"/>
        <v>0</v>
      </c>
      <c r="V41" s="443">
        <f t="shared" si="27"/>
        <v>0</v>
      </c>
      <c r="W41" s="443">
        <f t="shared" si="27"/>
        <v>0</v>
      </c>
      <c r="X41" s="443">
        <f t="shared" si="27"/>
        <v>0</v>
      </c>
      <c r="Y41" s="443">
        <f t="shared" si="27"/>
        <v>0</v>
      </c>
      <c r="Z41" s="443">
        <f t="shared" si="27"/>
        <v>0</v>
      </c>
      <c r="AA41" s="443">
        <f>AA42+AA43</f>
        <v>2612.85</v>
      </c>
      <c r="AB41" s="119">
        <f t="shared" si="6"/>
        <v>72.57916666666667</v>
      </c>
      <c r="AC41" s="443"/>
    </row>
    <row r="42" spans="1:29" s="118" customFormat="1" ht="45">
      <c r="A42" s="439"/>
      <c r="B42" s="49"/>
      <c r="C42" s="114" t="s">
        <v>445</v>
      </c>
      <c r="D42" s="50" t="s">
        <v>446</v>
      </c>
      <c r="E42" s="4"/>
      <c r="F42" s="120">
        <v>3500</v>
      </c>
      <c r="G42" s="545"/>
      <c r="H42" s="545"/>
      <c r="I42" s="545"/>
      <c r="J42" s="545"/>
      <c r="K42" s="545"/>
      <c r="L42" s="545"/>
      <c r="M42" s="545"/>
      <c r="N42" s="538">
        <f aca="true" t="shared" si="28" ref="N42:N69">F42+G42+H42+I42+J42+K42+L42+M42</f>
        <v>3500</v>
      </c>
      <c r="O42" s="120">
        <v>523</v>
      </c>
      <c r="P42" s="120">
        <v>697.72</v>
      </c>
      <c r="Q42" s="120">
        <f>302+94</f>
        <v>396</v>
      </c>
      <c r="R42" s="120">
        <v>355.45</v>
      </c>
      <c r="S42" s="120">
        <v>321</v>
      </c>
      <c r="T42" s="120">
        <v>325</v>
      </c>
      <c r="U42" s="120"/>
      <c r="V42" s="120"/>
      <c r="W42" s="120"/>
      <c r="X42" s="120"/>
      <c r="Y42" s="120"/>
      <c r="Z42" s="120"/>
      <c r="AA42" s="116">
        <f>SUM(O42:Z42)</f>
        <v>2618.17</v>
      </c>
      <c r="AB42" s="8">
        <f t="shared" si="6"/>
        <v>74.80485714285714</v>
      </c>
      <c r="AC42" s="2" t="s">
        <v>447</v>
      </c>
    </row>
    <row r="43" spans="1:29" s="118" customFormat="1" ht="45">
      <c r="A43" s="439"/>
      <c r="B43" s="49"/>
      <c r="C43" s="114" t="s">
        <v>181</v>
      </c>
      <c r="D43" s="50" t="s">
        <v>182</v>
      </c>
      <c r="E43" s="4"/>
      <c r="F43" s="120">
        <v>100</v>
      </c>
      <c r="G43" s="545"/>
      <c r="H43" s="545"/>
      <c r="I43" s="545"/>
      <c r="J43" s="545"/>
      <c r="K43" s="545"/>
      <c r="L43" s="545"/>
      <c r="M43" s="545"/>
      <c r="N43" s="538">
        <f t="shared" si="28"/>
        <v>100</v>
      </c>
      <c r="O43" s="120"/>
      <c r="P43" s="120">
        <v>7.28</v>
      </c>
      <c r="Q43" s="120">
        <v>10</v>
      </c>
      <c r="R43" s="550">
        <v>-22.6</v>
      </c>
      <c r="S43" s="120"/>
      <c r="T43" s="120"/>
      <c r="U43" s="120"/>
      <c r="V43" s="120"/>
      <c r="W43" s="120"/>
      <c r="X43" s="120"/>
      <c r="Y43" s="120"/>
      <c r="Z43" s="120"/>
      <c r="AA43" s="152">
        <f>SUM(O43:Z43)</f>
        <v>-5.32</v>
      </c>
      <c r="AB43" s="551">
        <f t="shared" si="6"/>
        <v>-5.32</v>
      </c>
      <c r="AC43" s="2" t="s">
        <v>448</v>
      </c>
    </row>
    <row r="44" spans="1:29" s="118" customFormat="1" ht="63.75">
      <c r="A44" s="439"/>
      <c r="B44" s="439">
        <v>75615</v>
      </c>
      <c r="C44" s="439"/>
      <c r="D44" s="440" t="s">
        <v>449</v>
      </c>
      <c r="E44" s="4"/>
      <c r="F44" s="402">
        <f>SUM(F45:F50)</f>
        <v>2253901</v>
      </c>
      <c r="G44" s="442">
        <f>SUM(G45:G50)</f>
        <v>0</v>
      </c>
      <c r="H44" s="442">
        <f aca="true" t="shared" si="29" ref="H44:M44">SUM(H45:H50)</f>
        <v>0</v>
      </c>
      <c r="I44" s="442">
        <f>SUM(I45:I51)</f>
        <v>1334</v>
      </c>
      <c r="J44" s="442">
        <f t="shared" si="29"/>
        <v>0</v>
      </c>
      <c r="K44" s="442">
        <f t="shared" si="29"/>
        <v>0</v>
      </c>
      <c r="L44" s="442">
        <f t="shared" si="29"/>
        <v>0</v>
      </c>
      <c r="M44" s="442">
        <f t="shared" si="29"/>
        <v>0</v>
      </c>
      <c r="N44" s="534">
        <f>SUM(N45:N51)</f>
        <v>2255235</v>
      </c>
      <c r="O44" s="402">
        <f>SUM(O45:O50)</f>
        <v>142162.24</v>
      </c>
      <c r="P44" s="402">
        <f aca="true" t="shared" si="30" ref="P44:Z44">SUM(P45:P50)</f>
        <v>156088.51</v>
      </c>
      <c r="Q44" s="402">
        <f t="shared" si="30"/>
        <v>245079.32</v>
      </c>
      <c r="R44" s="402">
        <f t="shared" si="30"/>
        <v>152962.72</v>
      </c>
      <c r="S44" s="402">
        <f>SUM(S45:S51)</f>
        <v>272814.17</v>
      </c>
      <c r="T44" s="402">
        <f t="shared" si="30"/>
        <v>156352.62000000002</v>
      </c>
      <c r="U44" s="402">
        <f t="shared" si="30"/>
        <v>0</v>
      </c>
      <c r="V44" s="402">
        <f t="shared" si="30"/>
        <v>0</v>
      </c>
      <c r="W44" s="402">
        <f t="shared" si="30"/>
        <v>0</v>
      </c>
      <c r="X44" s="402">
        <f t="shared" si="30"/>
        <v>0</v>
      </c>
      <c r="Y44" s="402">
        <f t="shared" si="30"/>
        <v>0</v>
      </c>
      <c r="Z44" s="402">
        <f t="shared" si="30"/>
        <v>0</v>
      </c>
      <c r="AA44" s="402">
        <f>SUM(AA45:AA51)</f>
        <v>1125459.5800000003</v>
      </c>
      <c r="AB44" s="119">
        <f t="shared" si="6"/>
        <v>49.904315071378385</v>
      </c>
      <c r="AC44" s="402"/>
    </row>
    <row r="45" spans="1:29" s="118" customFormat="1" ht="33.75">
      <c r="A45" s="439"/>
      <c r="B45" s="49"/>
      <c r="C45" s="114" t="s">
        <v>450</v>
      </c>
      <c r="D45" s="50" t="s">
        <v>498</v>
      </c>
      <c r="E45" s="4" t="s">
        <v>858</v>
      </c>
      <c r="F45" s="120">
        <v>1758539</v>
      </c>
      <c r="G45" s="545"/>
      <c r="H45" s="545"/>
      <c r="I45" s="545"/>
      <c r="J45" s="545"/>
      <c r="K45" s="545"/>
      <c r="L45" s="545"/>
      <c r="M45" s="545"/>
      <c r="N45" s="538">
        <f t="shared" si="28"/>
        <v>1758539</v>
      </c>
      <c r="O45" s="120">
        <v>138175.24</v>
      </c>
      <c r="P45" s="120">
        <v>134784.51</v>
      </c>
      <c r="Q45" s="120">
        <v>142018.37</v>
      </c>
      <c r="R45" s="120">
        <v>148496.92</v>
      </c>
      <c r="S45" s="120">
        <v>143670.07</v>
      </c>
      <c r="T45" s="120">
        <v>151457.32</v>
      </c>
      <c r="U45" s="120"/>
      <c r="V45" s="120"/>
      <c r="W45" s="120"/>
      <c r="X45" s="120"/>
      <c r="Y45" s="120"/>
      <c r="Z45" s="120"/>
      <c r="AA45" s="116">
        <f aca="true" t="shared" si="31" ref="AA45:AA50">SUM(O45:Z45)</f>
        <v>858602.4300000002</v>
      </c>
      <c r="AB45" s="8">
        <f t="shared" si="6"/>
        <v>48.82475907557354</v>
      </c>
      <c r="AC45" s="5" t="s">
        <v>927</v>
      </c>
    </row>
    <row r="46" spans="1:29" s="118" customFormat="1" ht="33.75">
      <c r="A46" s="439"/>
      <c r="B46" s="49"/>
      <c r="C46" s="114" t="s">
        <v>499</v>
      </c>
      <c r="D46" s="50" t="s">
        <v>500</v>
      </c>
      <c r="E46" s="4" t="s">
        <v>63</v>
      </c>
      <c r="F46" s="120">
        <f>361591+60000+10831</f>
        <v>432422</v>
      </c>
      <c r="G46" s="545"/>
      <c r="H46" s="545"/>
      <c r="I46" s="545"/>
      <c r="J46" s="545"/>
      <c r="K46" s="545"/>
      <c r="L46" s="545"/>
      <c r="M46" s="545"/>
      <c r="N46" s="538">
        <f t="shared" si="28"/>
        <v>432422</v>
      </c>
      <c r="O46" s="120">
        <v>719</v>
      </c>
      <c r="P46" s="120">
        <v>6604</v>
      </c>
      <c r="Q46" s="120">
        <v>99002.45</v>
      </c>
      <c r="R46" s="120">
        <v>305</v>
      </c>
      <c r="S46" s="120">
        <v>123943.25</v>
      </c>
      <c r="T46" s="120">
        <v>1616.4</v>
      </c>
      <c r="U46" s="120"/>
      <c r="V46" s="120"/>
      <c r="W46" s="120"/>
      <c r="X46" s="120"/>
      <c r="Y46" s="120"/>
      <c r="Z46" s="120"/>
      <c r="AA46" s="116">
        <f t="shared" si="31"/>
        <v>232190.1</v>
      </c>
      <c r="AB46" s="8">
        <f t="shared" si="6"/>
        <v>53.695256023051556</v>
      </c>
      <c r="AC46" s="5" t="s">
        <v>928</v>
      </c>
    </row>
    <row r="47" spans="1:29" s="118" customFormat="1" ht="33.75">
      <c r="A47" s="439"/>
      <c r="B47" s="49"/>
      <c r="C47" s="114" t="s">
        <v>501</v>
      </c>
      <c r="D47" s="50" t="s">
        <v>502</v>
      </c>
      <c r="E47" s="4" t="s">
        <v>64</v>
      </c>
      <c r="F47" s="120">
        <v>34130</v>
      </c>
      <c r="G47" s="545"/>
      <c r="H47" s="545"/>
      <c r="I47" s="545"/>
      <c r="J47" s="545"/>
      <c r="K47" s="545"/>
      <c r="L47" s="545"/>
      <c r="M47" s="545"/>
      <c r="N47" s="538">
        <f t="shared" si="28"/>
        <v>34130</v>
      </c>
      <c r="O47" s="120">
        <v>2967</v>
      </c>
      <c r="P47" s="120">
        <v>3065</v>
      </c>
      <c r="Q47" s="120">
        <v>3016</v>
      </c>
      <c r="R47" s="120">
        <v>3385</v>
      </c>
      <c r="S47" s="120">
        <v>3016</v>
      </c>
      <c r="T47" s="120">
        <v>3016</v>
      </c>
      <c r="U47" s="120"/>
      <c r="V47" s="120"/>
      <c r="W47" s="120"/>
      <c r="X47" s="120"/>
      <c r="Y47" s="120"/>
      <c r="Z47" s="120"/>
      <c r="AA47" s="116">
        <f t="shared" si="31"/>
        <v>18465</v>
      </c>
      <c r="AB47" s="8">
        <f t="shared" si="6"/>
        <v>54.10196308233226</v>
      </c>
      <c r="AC47" s="5"/>
    </row>
    <row r="48" spans="1:29" s="118" customFormat="1" ht="25.5">
      <c r="A48" s="439"/>
      <c r="B48" s="49"/>
      <c r="C48" s="114" t="s">
        <v>503</v>
      </c>
      <c r="D48" s="50" t="s">
        <v>504</v>
      </c>
      <c r="E48" s="4" t="s">
        <v>65</v>
      </c>
      <c r="F48" s="120">
        <v>20810</v>
      </c>
      <c r="G48" s="545"/>
      <c r="H48" s="545"/>
      <c r="I48" s="545"/>
      <c r="J48" s="545"/>
      <c r="K48" s="545"/>
      <c r="L48" s="545"/>
      <c r="M48" s="545"/>
      <c r="N48" s="538">
        <f t="shared" si="28"/>
        <v>20810</v>
      </c>
      <c r="O48" s="120">
        <v>193</v>
      </c>
      <c r="P48" s="120">
        <v>11635</v>
      </c>
      <c r="Q48" s="120">
        <v>554</v>
      </c>
      <c r="R48" s="120"/>
      <c r="S48" s="120"/>
      <c r="T48" s="120"/>
      <c r="U48" s="120"/>
      <c r="V48" s="120"/>
      <c r="W48" s="120"/>
      <c r="X48" s="120"/>
      <c r="Y48" s="120"/>
      <c r="Z48" s="120"/>
      <c r="AA48" s="116">
        <f t="shared" si="31"/>
        <v>12382</v>
      </c>
      <c r="AB48" s="8">
        <f t="shared" si="6"/>
        <v>59.5002402691014</v>
      </c>
      <c r="AC48" s="5" t="s">
        <v>930</v>
      </c>
    </row>
    <row r="49" spans="1:29" s="118" customFormat="1" ht="33.75">
      <c r="A49" s="439"/>
      <c r="B49" s="49"/>
      <c r="C49" s="114" t="s">
        <v>505</v>
      </c>
      <c r="D49" s="50" t="s">
        <v>506</v>
      </c>
      <c r="E49" s="4"/>
      <c r="F49" s="120">
        <v>5000</v>
      </c>
      <c r="G49" s="545"/>
      <c r="H49" s="545"/>
      <c r="I49" s="545"/>
      <c r="J49" s="545"/>
      <c r="K49" s="545"/>
      <c r="L49" s="545"/>
      <c r="M49" s="545"/>
      <c r="N49" s="538">
        <f t="shared" si="28"/>
        <v>5000</v>
      </c>
      <c r="O49" s="120">
        <v>64</v>
      </c>
      <c r="P49" s="120"/>
      <c r="Q49" s="120">
        <f>160+19</f>
        <v>179</v>
      </c>
      <c r="R49" s="120">
        <v>500</v>
      </c>
      <c r="S49" s="120">
        <v>305.05</v>
      </c>
      <c r="T49" s="120">
        <v>-5.05</v>
      </c>
      <c r="U49" s="120"/>
      <c r="V49" s="120"/>
      <c r="W49" s="120"/>
      <c r="X49" s="120"/>
      <c r="Y49" s="120"/>
      <c r="Z49" s="120"/>
      <c r="AA49" s="116">
        <f t="shared" si="31"/>
        <v>1043</v>
      </c>
      <c r="AB49" s="8">
        <f t="shared" si="6"/>
        <v>20.86</v>
      </c>
      <c r="AC49" s="4" t="s">
        <v>507</v>
      </c>
    </row>
    <row r="50" spans="1:29" s="118" customFormat="1" ht="33.75">
      <c r="A50" s="439"/>
      <c r="B50" s="49"/>
      <c r="C50" s="114" t="s">
        <v>181</v>
      </c>
      <c r="D50" s="50" t="s">
        <v>182</v>
      </c>
      <c r="E50" s="4"/>
      <c r="F50" s="120">
        <v>3000</v>
      </c>
      <c r="G50" s="545"/>
      <c r="H50" s="545"/>
      <c r="I50" s="545"/>
      <c r="J50" s="545"/>
      <c r="K50" s="545"/>
      <c r="L50" s="545"/>
      <c r="M50" s="545"/>
      <c r="N50" s="538">
        <f t="shared" si="28"/>
        <v>3000</v>
      </c>
      <c r="O50" s="120">
        <v>44</v>
      </c>
      <c r="P50" s="120"/>
      <c r="Q50" s="120">
        <v>309.5</v>
      </c>
      <c r="R50" s="120">
        <f>267+8.8</f>
        <v>275.8</v>
      </c>
      <c r="S50" s="120">
        <f>537+8.8</f>
        <v>545.8</v>
      </c>
      <c r="T50" s="120">
        <f>250.35+17.6</f>
        <v>267.95</v>
      </c>
      <c r="U50" s="120"/>
      <c r="V50" s="120"/>
      <c r="W50" s="120"/>
      <c r="X50" s="120"/>
      <c r="Y50" s="120"/>
      <c r="Z50" s="120"/>
      <c r="AA50" s="116">
        <f t="shared" si="31"/>
        <v>1443.05</v>
      </c>
      <c r="AB50" s="8">
        <f t="shared" si="6"/>
        <v>48.10166666666667</v>
      </c>
      <c r="AC50" s="2" t="s">
        <v>929</v>
      </c>
    </row>
    <row r="51" spans="1:29" s="118" customFormat="1" ht="38.25">
      <c r="A51" s="439"/>
      <c r="B51" s="49"/>
      <c r="C51" s="114">
        <v>2680</v>
      </c>
      <c r="D51" s="50" t="s">
        <v>66</v>
      </c>
      <c r="E51" s="4"/>
      <c r="F51" s="120"/>
      <c r="G51" s="545"/>
      <c r="H51" s="545"/>
      <c r="I51" s="545">
        <v>1334</v>
      </c>
      <c r="J51" s="545"/>
      <c r="K51" s="545"/>
      <c r="L51" s="545"/>
      <c r="M51" s="545"/>
      <c r="N51" s="538">
        <f t="shared" si="28"/>
        <v>1334</v>
      </c>
      <c r="O51" s="120"/>
      <c r="P51" s="120"/>
      <c r="Q51" s="120"/>
      <c r="R51" s="120"/>
      <c r="S51" s="120">
        <v>1334</v>
      </c>
      <c r="T51" s="120"/>
      <c r="U51" s="120"/>
      <c r="V51" s="120"/>
      <c r="W51" s="120"/>
      <c r="X51" s="120"/>
      <c r="Y51" s="120"/>
      <c r="Z51" s="120"/>
      <c r="AA51" s="116">
        <f>SUM(O51:Z51)</f>
        <v>1334</v>
      </c>
      <c r="AB51" s="8">
        <f>AA51*100/N51</f>
        <v>100</v>
      </c>
      <c r="AC51" s="577" t="s">
        <v>926</v>
      </c>
    </row>
    <row r="52" spans="1:30" s="118" customFormat="1" ht="89.25">
      <c r="A52" s="439"/>
      <c r="B52" s="439">
        <v>75616</v>
      </c>
      <c r="C52" s="439"/>
      <c r="D52" s="440" t="s">
        <v>508</v>
      </c>
      <c r="E52" s="543"/>
      <c r="F52" s="402">
        <f>SUM(F53:F60)</f>
        <v>1994246</v>
      </c>
      <c r="G52" s="442">
        <f>SUM(G53:G60)</f>
        <v>0</v>
      </c>
      <c r="H52" s="442">
        <f aca="true" t="shared" si="32" ref="H52:M52">SUM(H53:H60)</f>
        <v>0</v>
      </c>
      <c r="I52" s="442">
        <f t="shared" si="32"/>
        <v>0</v>
      </c>
      <c r="J52" s="442">
        <f t="shared" si="32"/>
        <v>0</v>
      </c>
      <c r="K52" s="442">
        <f t="shared" si="32"/>
        <v>0</v>
      </c>
      <c r="L52" s="442">
        <f t="shared" si="32"/>
        <v>0</v>
      </c>
      <c r="M52" s="442">
        <f t="shared" si="32"/>
        <v>0</v>
      </c>
      <c r="N52" s="544">
        <f>SUM(N53:N60)</f>
        <v>1994246</v>
      </c>
      <c r="O52" s="402">
        <f>SUM(O53:O60)</f>
        <v>84954.74</v>
      </c>
      <c r="P52" s="402">
        <f aca="true" t="shared" si="33" ref="P52:Z52">SUM(P53:P60)</f>
        <v>128288.35999999999</v>
      </c>
      <c r="Q52" s="402">
        <f t="shared" si="33"/>
        <v>393550.31</v>
      </c>
      <c r="R52" s="402">
        <f t="shared" si="33"/>
        <v>64556.939999999995</v>
      </c>
      <c r="S52" s="402">
        <f>SUM(S53:S60)</f>
        <v>295660.41</v>
      </c>
      <c r="T52" s="402">
        <f t="shared" si="33"/>
        <v>73368.53</v>
      </c>
      <c r="U52" s="402">
        <f t="shared" si="33"/>
        <v>108</v>
      </c>
      <c r="V52" s="402">
        <f t="shared" si="33"/>
        <v>0</v>
      </c>
      <c r="W52" s="402">
        <f t="shared" si="33"/>
        <v>0</v>
      </c>
      <c r="X52" s="402">
        <f t="shared" si="33"/>
        <v>0</v>
      </c>
      <c r="Y52" s="402">
        <f t="shared" si="33"/>
        <v>0</v>
      </c>
      <c r="Z52" s="402">
        <f t="shared" si="33"/>
        <v>0</v>
      </c>
      <c r="AA52" s="402">
        <f>SUM(AA53:AA60)</f>
        <v>1040487.29</v>
      </c>
      <c r="AB52" s="119">
        <f t="shared" si="6"/>
        <v>52.174470451488936</v>
      </c>
      <c r="AC52" s="402"/>
      <c r="AD52" s="446"/>
    </row>
    <row r="53" spans="1:29" s="118" customFormat="1" ht="56.25">
      <c r="A53" s="439"/>
      <c r="B53" s="439"/>
      <c r="C53" s="114" t="s">
        <v>450</v>
      </c>
      <c r="D53" s="50" t="s">
        <v>498</v>
      </c>
      <c r="E53" s="4" t="s">
        <v>67</v>
      </c>
      <c r="F53" s="120">
        <v>912379</v>
      </c>
      <c r="G53" s="545"/>
      <c r="H53" s="545"/>
      <c r="I53" s="545"/>
      <c r="J53" s="545"/>
      <c r="K53" s="545"/>
      <c r="L53" s="545"/>
      <c r="M53" s="545"/>
      <c r="N53" s="538">
        <f t="shared" si="28"/>
        <v>912379</v>
      </c>
      <c r="O53" s="120">
        <v>11912.38</v>
      </c>
      <c r="P53" s="120">
        <v>36142.57</v>
      </c>
      <c r="Q53" s="120">
        <v>238087.72</v>
      </c>
      <c r="R53" s="120">
        <v>25550.95</v>
      </c>
      <c r="S53" s="120">
        <v>167569.69</v>
      </c>
      <c r="T53" s="120">
        <v>25177.52</v>
      </c>
      <c r="U53" s="120"/>
      <c r="V53" s="120"/>
      <c r="W53" s="120"/>
      <c r="X53" s="120"/>
      <c r="Y53" s="120"/>
      <c r="Z53" s="120"/>
      <c r="AA53" s="116">
        <f aca="true" t="shared" si="34" ref="AA53:AA69">SUM(O53:Z53)</f>
        <v>504440.83</v>
      </c>
      <c r="AB53" s="8">
        <f t="shared" si="6"/>
        <v>55.28851825831151</v>
      </c>
      <c r="AC53" s="5" t="s">
        <v>96</v>
      </c>
    </row>
    <row r="54" spans="1:29" s="118" customFormat="1" ht="56.25">
      <c r="A54" s="439"/>
      <c r="B54" s="439"/>
      <c r="C54" s="114" t="s">
        <v>499</v>
      </c>
      <c r="D54" s="50" t="s">
        <v>500</v>
      </c>
      <c r="E54" s="4" t="s">
        <v>63</v>
      </c>
      <c r="F54" s="120">
        <f>541372+19363</f>
        <v>560735</v>
      </c>
      <c r="G54" s="545"/>
      <c r="H54" s="545"/>
      <c r="I54" s="545"/>
      <c r="J54" s="545"/>
      <c r="K54" s="545"/>
      <c r="L54" s="545"/>
      <c r="M54" s="545"/>
      <c r="N54" s="538">
        <f t="shared" si="28"/>
        <v>560735</v>
      </c>
      <c r="O54" s="120"/>
      <c r="P54" s="120">
        <v>24614.02</v>
      </c>
      <c r="Q54" s="120">
        <v>130165.8</v>
      </c>
      <c r="R54" s="120">
        <v>14208.97</v>
      </c>
      <c r="S54" s="120">
        <v>110678.54</v>
      </c>
      <c r="T54" s="120">
        <v>20520.44</v>
      </c>
      <c r="U54" s="120"/>
      <c r="V54" s="120"/>
      <c r="W54" s="120"/>
      <c r="X54" s="120"/>
      <c r="Y54" s="120"/>
      <c r="Z54" s="120"/>
      <c r="AA54" s="116">
        <f t="shared" si="34"/>
        <v>300187.77</v>
      </c>
      <c r="AB54" s="8">
        <f t="shared" si="6"/>
        <v>53.534694641853996</v>
      </c>
      <c r="AC54" s="5" t="s">
        <v>97</v>
      </c>
    </row>
    <row r="55" spans="1:29" s="118" customFormat="1" ht="33.75">
      <c r="A55" s="439"/>
      <c r="B55" s="439"/>
      <c r="C55" s="114" t="s">
        <v>501</v>
      </c>
      <c r="D55" s="50" t="s">
        <v>502</v>
      </c>
      <c r="E55" s="4" t="s">
        <v>64</v>
      </c>
      <c r="F55" s="120">
        <v>1512</v>
      </c>
      <c r="G55" s="545"/>
      <c r="H55" s="545"/>
      <c r="I55" s="545"/>
      <c r="J55" s="545"/>
      <c r="K55" s="545"/>
      <c r="L55" s="545"/>
      <c r="M55" s="545"/>
      <c r="N55" s="538">
        <f t="shared" si="28"/>
        <v>1512</v>
      </c>
      <c r="O55" s="120"/>
      <c r="P55" s="120">
        <v>38.68</v>
      </c>
      <c r="Q55" s="120">
        <v>390.54</v>
      </c>
      <c r="R55" s="120">
        <v>31.21</v>
      </c>
      <c r="S55" s="120">
        <v>266.61</v>
      </c>
      <c r="T55" s="120">
        <v>51.07</v>
      </c>
      <c r="U55" s="120"/>
      <c r="V55" s="120"/>
      <c r="W55" s="120"/>
      <c r="X55" s="120"/>
      <c r="Y55" s="120"/>
      <c r="Z55" s="120"/>
      <c r="AA55" s="116">
        <f t="shared" si="34"/>
        <v>778.11</v>
      </c>
      <c r="AB55" s="8">
        <f t="shared" si="6"/>
        <v>51.46230158730159</v>
      </c>
      <c r="AC55" s="5" t="s">
        <v>98</v>
      </c>
    </row>
    <row r="56" spans="1:29" s="118" customFormat="1" ht="45">
      <c r="A56" s="439"/>
      <c r="B56" s="439"/>
      <c r="C56" s="114" t="s">
        <v>503</v>
      </c>
      <c r="D56" s="50" t="s">
        <v>504</v>
      </c>
      <c r="E56" s="4" t="s">
        <v>65</v>
      </c>
      <c r="F56" s="120">
        <v>88620</v>
      </c>
      <c r="G56" s="545"/>
      <c r="H56" s="545"/>
      <c r="I56" s="545"/>
      <c r="J56" s="545"/>
      <c r="K56" s="545"/>
      <c r="L56" s="545"/>
      <c r="M56" s="545"/>
      <c r="N56" s="538">
        <f t="shared" si="28"/>
        <v>88620</v>
      </c>
      <c r="O56" s="120">
        <v>48</v>
      </c>
      <c r="P56" s="120">
        <v>33887</v>
      </c>
      <c r="Q56" s="120">
        <v>7832</v>
      </c>
      <c r="R56" s="120">
        <v>3679</v>
      </c>
      <c r="S56" s="120">
        <v>3992</v>
      </c>
      <c r="T56" s="120">
        <v>756</v>
      </c>
      <c r="U56" s="120"/>
      <c r="V56" s="120"/>
      <c r="W56" s="120"/>
      <c r="X56" s="120"/>
      <c r="Y56" s="120"/>
      <c r="Z56" s="120"/>
      <c r="AA56" s="116">
        <f t="shared" si="34"/>
        <v>50194</v>
      </c>
      <c r="AB56" s="8">
        <f>AA56*100/N56</f>
        <v>56.63958474385014</v>
      </c>
      <c r="AC56" s="5" t="s">
        <v>99</v>
      </c>
    </row>
    <row r="57" spans="1:29" s="118" customFormat="1" ht="33.75">
      <c r="A57" s="439"/>
      <c r="B57" s="49"/>
      <c r="C57" s="114" t="s">
        <v>251</v>
      </c>
      <c r="D57" s="50" t="s">
        <v>252</v>
      </c>
      <c r="E57" s="4"/>
      <c r="F57" s="120">
        <v>6000</v>
      </c>
      <c r="G57" s="545"/>
      <c r="H57" s="545"/>
      <c r="I57" s="545"/>
      <c r="J57" s="545"/>
      <c r="K57" s="545"/>
      <c r="L57" s="545"/>
      <c r="M57" s="545"/>
      <c r="N57" s="538">
        <f t="shared" si="28"/>
        <v>6000</v>
      </c>
      <c r="O57" s="120">
        <v>491</v>
      </c>
      <c r="P57" s="120">
        <v>615</v>
      </c>
      <c r="Q57" s="120"/>
      <c r="R57" s="550"/>
      <c r="S57" s="120"/>
      <c r="T57" s="120">
        <v>4542</v>
      </c>
      <c r="U57" s="120"/>
      <c r="V57" s="120"/>
      <c r="W57" s="120"/>
      <c r="X57" s="120"/>
      <c r="Y57" s="120"/>
      <c r="Z57" s="120"/>
      <c r="AA57" s="116">
        <f t="shared" si="34"/>
        <v>5648</v>
      </c>
      <c r="AB57" s="8">
        <f t="shared" si="6"/>
        <v>94.13333333333334</v>
      </c>
      <c r="AC57" s="2" t="s">
        <v>253</v>
      </c>
    </row>
    <row r="58" spans="1:29" s="118" customFormat="1" ht="22.5">
      <c r="A58" s="439"/>
      <c r="B58" s="49"/>
      <c r="C58" s="114" t="s">
        <v>254</v>
      </c>
      <c r="D58" s="50" t="s">
        <v>255</v>
      </c>
      <c r="E58" s="4" t="s">
        <v>68</v>
      </c>
      <c r="F58" s="120">
        <v>20000</v>
      </c>
      <c r="G58" s="545"/>
      <c r="H58" s="545"/>
      <c r="I58" s="545"/>
      <c r="J58" s="545"/>
      <c r="K58" s="545"/>
      <c r="L58" s="545"/>
      <c r="M58" s="545"/>
      <c r="N58" s="538">
        <f t="shared" si="28"/>
        <v>20000</v>
      </c>
      <c r="O58" s="120">
        <v>1080</v>
      </c>
      <c r="P58" s="120">
        <v>1050</v>
      </c>
      <c r="Q58" s="120">
        <v>1525</v>
      </c>
      <c r="R58" s="120">
        <v>2100</v>
      </c>
      <c r="S58" s="120">
        <v>2410</v>
      </c>
      <c r="T58" s="120">
        <v>2345</v>
      </c>
      <c r="U58" s="120"/>
      <c r="V58" s="120"/>
      <c r="W58" s="120"/>
      <c r="X58" s="120"/>
      <c r="Y58" s="120"/>
      <c r="Z58" s="120"/>
      <c r="AA58" s="116">
        <f t="shared" si="34"/>
        <v>10510</v>
      </c>
      <c r="AB58" s="8">
        <f t="shared" si="6"/>
        <v>52.55</v>
      </c>
      <c r="AC58" s="4" t="s">
        <v>661</v>
      </c>
    </row>
    <row r="59" spans="1:29" s="118" customFormat="1" ht="25.5">
      <c r="A59" s="439"/>
      <c r="B59" s="49"/>
      <c r="C59" s="114" t="s">
        <v>505</v>
      </c>
      <c r="D59" s="50" t="s">
        <v>506</v>
      </c>
      <c r="E59" s="4"/>
      <c r="F59" s="120">
        <v>400000</v>
      </c>
      <c r="G59" s="545"/>
      <c r="H59" s="545"/>
      <c r="I59" s="545"/>
      <c r="J59" s="545"/>
      <c r="K59" s="545"/>
      <c r="L59" s="545"/>
      <c r="M59" s="545"/>
      <c r="N59" s="538">
        <f t="shared" si="28"/>
        <v>400000</v>
      </c>
      <c r="O59" s="120">
        <v>70883.31</v>
      </c>
      <c r="P59" s="120">
        <v>31251.68</v>
      </c>
      <c r="Q59" s="120">
        <f>11765+3174</f>
        <v>14939</v>
      </c>
      <c r="R59" s="120">
        <v>17766</v>
      </c>
      <c r="S59" s="120">
        <v>9959</v>
      </c>
      <c r="T59" s="120">
        <f>18198.1+200</f>
        <v>18398.1</v>
      </c>
      <c r="U59" s="120">
        <f>108</f>
        <v>108</v>
      </c>
      <c r="V59" s="120"/>
      <c r="W59" s="120"/>
      <c r="X59" s="120"/>
      <c r="Y59" s="120"/>
      <c r="Z59" s="120"/>
      <c r="AA59" s="116">
        <f t="shared" si="34"/>
        <v>163305.09</v>
      </c>
      <c r="AB59" s="8">
        <f t="shared" si="6"/>
        <v>40.8262725</v>
      </c>
      <c r="AC59" s="4" t="s">
        <v>509</v>
      </c>
    </row>
    <row r="60" spans="1:29" s="118" customFormat="1" ht="33.75">
      <c r="A60" s="439"/>
      <c r="B60" s="49"/>
      <c r="C60" s="114" t="s">
        <v>181</v>
      </c>
      <c r="D60" s="50" t="s">
        <v>182</v>
      </c>
      <c r="E60" s="4" t="s">
        <v>69</v>
      </c>
      <c r="F60" s="120">
        <v>5000</v>
      </c>
      <c r="G60" s="545"/>
      <c r="H60" s="545"/>
      <c r="I60" s="545"/>
      <c r="J60" s="545"/>
      <c r="K60" s="545"/>
      <c r="L60" s="545"/>
      <c r="M60" s="545"/>
      <c r="N60" s="538">
        <f t="shared" si="28"/>
        <v>5000</v>
      </c>
      <c r="O60" s="120">
        <f>258.45+281.6</f>
        <v>540.05</v>
      </c>
      <c r="P60" s="120">
        <f>469.41+220</f>
        <v>689.4100000000001</v>
      </c>
      <c r="Q60" s="120">
        <f>469.45+140.8</f>
        <v>610.25</v>
      </c>
      <c r="R60" s="120">
        <f>534.41+686.4</f>
        <v>1220.81</v>
      </c>
      <c r="S60" s="120">
        <f>476.57+308</f>
        <v>784.5699999999999</v>
      </c>
      <c r="T60" s="120">
        <f>760+818.4</f>
        <v>1578.4</v>
      </c>
      <c r="U60" s="120"/>
      <c r="V60" s="120"/>
      <c r="W60" s="120"/>
      <c r="X60" s="120"/>
      <c r="Y60" s="120"/>
      <c r="Z60" s="120"/>
      <c r="AA60" s="116">
        <f t="shared" si="34"/>
        <v>5423.49</v>
      </c>
      <c r="AB60" s="8">
        <f t="shared" si="6"/>
        <v>108.4698</v>
      </c>
      <c r="AC60" s="4" t="s">
        <v>100</v>
      </c>
    </row>
    <row r="61" spans="1:29" s="118" customFormat="1" ht="51">
      <c r="A61" s="439"/>
      <c r="B61" s="439">
        <v>75618</v>
      </c>
      <c r="C61" s="439"/>
      <c r="D61" s="440" t="s">
        <v>510</v>
      </c>
      <c r="E61" s="543"/>
      <c r="F61" s="402">
        <f>SUM(F62:F66)</f>
        <v>671460</v>
      </c>
      <c r="G61" s="442">
        <f>SUM(G62:G66)</f>
        <v>72963</v>
      </c>
      <c r="H61" s="442">
        <f aca="true" t="shared" si="35" ref="H61:M61">SUM(H62:H66)</f>
        <v>0</v>
      </c>
      <c r="I61" s="442">
        <f t="shared" si="35"/>
        <v>133500</v>
      </c>
      <c r="J61" s="442">
        <f t="shared" si="35"/>
        <v>0</v>
      </c>
      <c r="K61" s="442">
        <f t="shared" si="35"/>
        <v>0</v>
      </c>
      <c r="L61" s="442">
        <f t="shared" si="35"/>
        <v>0</v>
      </c>
      <c r="M61" s="442">
        <f t="shared" si="35"/>
        <v>0</v>
      </c>
      <c r="N61" s="544">
        <f>SUM(N62:N66)</f>
        <v>877923</v>
      </c>
      <c r="O61" s="402">
        <f>SUM(O62:O66)</f>
        <v>61544.42999999999</v>
      </c>
      <c r="P61" s="402">
        <f aca="true" t="shared" si="36" ref="P61:Z61">SUM(P62:P66)</f>
        <v>5461.719999999999</v>
      </c>
      <c r="Q61" s="402">
        <f t="shared" si="36"/>
        <v>6446.38</v>
      </c>
      <c r="R61" s="402">
        <f t="shared" si="36"/>
        <v>27345.63</v>
      </c>
      <c r="S61" s="402">
        <f t="shared" si="36"/>
        <v>22786.2</v>
      </c>
      <c r="T61" s="402">
        <f t="shared" si="36"/>
        <v>158984.66</v>
      </c>
      <c r="U61" s="402">
        <f t="shared" si="36"/>
        <v>0</v>
      </c>
      <c r="V61" s="402">
        <f t="shared" si="36"/>
        <v>0</v>
      </c>
      <c r="W61" s="402">
        <f t="shared" si="36"/>
        <v>0</v>
      </c>
      <c r="X61" s="402">
        <f t="shared" si="36"/>
        <v>0</v>
      </c>
      <c r="Y61" s="402">
        <f t="shared" si="36"/>
        <v>0</v>
      </c>
      <c r="Z61" s="402">
        <f t="shared" si="36"/>
        <v>0</v>
      </c>
      <c r="AA61" s="402">
        <f>SUM(AA62:AA66)</f>
        <v>282569.02</v>
      </c>
      <c r="AB61" s="119">
        <f t="shared" si="6"/>
        <v>32.18608237852295</v>
      </c>
      <c r="AC61" s="402"/>
    </row>
    <row r="62" spans="1:29" s="118" customFormat="1" ht="12.75">
      <c r="A62" s="439"/>
      <c r="B62" s="439"/>
      <c r="C62" s="114" t="s">
        <v>511</v>
      </c>
      <c r="D62" s="50" t="s">
        <v>512</v>
      </c>
      <c r="E62" s="4"/>
      <c r="F62" s="120">
        <v>35000</v>
      </c>
      <c r="G62" s="545"/>
      <c r="H62" s="545"/>
      <c r="I62" s="545"/>
      <c r="J62" s="545"/>
      <c r="K62" s="545"/>
      <c r="L62" s="545"/>
      <c r="M62" s="545"/>
      <c r="N62" s="538">
        <f t="shared" si="28"/>
        <v>35000</v>
      </c>
      <c r="O62" s="120">
        <v>3375</v>
      </c>
      <c r="P62" s="120">
        <v>3035</v>
      </c>
      <c r="Q62" s="120">
        <v>2079</v>
      </c>
      <c r="R62" s="120">
        <v>2903</v>
      </c>
      <c r="S62" s="120">
        <v>2186</v>
      </c>
      <c r="T62" s="120">
        <v>2992</v>
      </c>
      <c r="U62" s="120"/>
      <c r="V62" s="120"/>
      <c r="W62" s="120"/>
      <c r="X62" s="120"/>
      <c r="Y62" s="120"/>
      <c r="Z62" s="120"/>
      <c r="AA62" s="116">
        <f t="shared" si="34"/>
        <v>16570</v>
      </c>
      <c r="AB62" s="8">
        <f t="shared" si="6"/>
        <v>47.34285714285714</v>
      </c>
      <c r="AC62" s="4" t="s">
        <v>513</v>
      </c>
    </row>
    <row r="63" spans="1:29" s="118" customFormat="1" ht="67.5">
      <c r="A63" s="439"/>
      <c r="B63" s="439"/>
      <c r="C63" s="114" t="s">
        <v>514</v>
      </c>
      <c r="D63" s="50" t="s">
        <v>515</v>
      </c>
      <c r="E63" s="4"/>
      <c r="F63" s="120">
        <v>45000</v>
      </c>
      <c r="G63" s="545"/>
      <c r="H63" s="545"/>
      <c r="I63" s="545"/>
      <c r="J63" s="545"/>
      <c r="K63" s="545"/>
      <c r="L63" s="545"/>
      <c r="M63" s="545"/>
      <c r="N63" s="538">
        <f t="shared" si="28"/>
        <v>45000</v>
      </c>
      <c r="O63" s="120">
        <v>16338.17</v>
      </c>
      <c r="P63" s="120"/>
      <c r="Q63" s="120"/>
      <c r="R63" s="120">
        <v>19161.56</v>
      </c>
      <c r="S63" s="120"/>
      <c r="T63" s="120"/>
      <c r="U63" s="120"/>
      <c r="V63" s="120"/>
      <c r="W63" s="120"/>
      <c r="X63" s="120"/>
      <c r="Y63" s="120"/>
      <c r="Z63" s="120"/>
      <c r="AA63" s="116">
        <f>SUM(O63:Z63)</f>
        <v>35499.73</v>
      </c>
      <c r="AB63" s="8">
        <f t="shared" si="6"/>
        <v>78.8882888888889</v>
      </c>
      <c r="AC63" s="2" t="s">
        <v>101</v>
      </c>
    </row>
    <row r="64" spans="1:29" s="118" customFormat="1" ht="146.25" customHeight="1">
      <c r="A64" s="439"/>
      <c r="B64" s="439"/>
      <c r="C64" s="114" t="s">
        <v>516</v>
      </c>
      <c r="D64" s="50" t="s">
        <v>517</v>
      </c>
      <c r="E64" s="4"/>
      <c r="F64" s="120">
        <v>80000</v>
      </c>
      <c r="G64" s="545"/>
      <c r="H64" s="545"/>
      <c r="I64" s="545"/>
      <c r="J64" s="545"/>
      <c r="K64" s="545"/>
      <c r="L64" s="545"/>
      <c r="M64" s="545"/>
      <c r="N64" s="538">
        <f t="shared" si="28"/>
        <v>80000</v>
      </c>
      <c r="O64" s="120">
        <v>36455.25</v>
      </c>
      <c r="P64" s="120">
        <v>1342.2</v>
      </c>
      <c r="Q64" s="120"/>
      <c r="R64" s="120">
        <v>43.75</v>
      </c>
      <c r="S64" s="120">
        <f>19817.78+344.02</f>
        <v>20161.8</v>
      </c>
      <c r="T64" s="120">
        <v>6718.16</v>
      </c>
      <c r="U64" s="120"/>
      <c r="V64" s="120"/>
      <c r="W64" s="120"/>
      <c r="X64" s="120"/>
      <c r="Y64" s="120"/>
      <c r="Z64" s="120"/>
      <c r="AA64" s="116">
        <f>SUM(O64:Z64)</f>
        <v>64721.16</v>
      </c>
      <c r="AB64" s="8">
        <f t="shared" si="6"/>
        <v>80.90145</v>
      </c>
      <c r="AC64" s="2" t="s">
        <v>102</v>
      </c>
    </row>
    <row r="65" spans="1:29" s="118" customFormat="1" ht="101.25">
      <c r="A65" s="439"/>
      <c r="B65" s="439"/>
      <c r="C65" s="114" t="s">
        <v>518</v>
      </c>
      <c r="D65" s="50" t="s">
        <v>519</v>
      </c>
      <c r="E65" s="4" t="s">
        <v>70</v>
      </c>
      <c r="F65" s="120">
        <f>1460+5000+300000+200000</f>
        <v>506460</v>
      </c>
      <c r="G65" s="545">
        <v>72963</v>
      </c>
      <c r="H65" s="545"/>
      <c r="I65" s="545">
        <v>133500</v>
      </c>
      <c r="J65" s="545"/>
      <c r="K65" s="545"/>
      <c r="L65" s="545"/>
      <c r="M65" s="545"/>
      <c r="N65" s="538">
        <f t="shared" si="28"/>
        <v>712923</v>
      </c>
      <c r="O65" s="120">
        <v>5335.45</v>
      </c>
      <c r="P65" s="120">
        <v>1084.52</v>
      </c>
      <c r="Q65" s="120">
        <v>4290.28</v>
      </c>
      <c r="R65" s="120">
        <v>5219.59</v>
      </c>
      <c r="S65" s="120">
        <v>438.4</v>
      </c>
      <c r="T65" s="120">
        <v>149274.5</v>
      </c>
      <c r="U65" s="120"/>
      <c r="V65" s="120"/>
      <c r="W65" s="120"/>
      <c r="X65" s="120"/>
      <c r="Y65" s="120"/>
      <c r="Z65" s="120"/>
      <c r="AA65" s="116">
        <f>SUM(O65:Z65)</f>
        <v>165642.74</v>
      </c>
      <c r="AB65" s="8">
        <f t="shared" si="6"/>
        <v>23.234310016649765</v>
      </c>
      <c r="AC65" s="6" t="s">
        <v>1046</v>
      </c>
    </row>
    <row r="66" spans="1:29" s="118" customFormat="1" ht="25.5">
      <c r="A66" s="439"/>
      <c r="B66" s="49"/>
      <c r="C66" s="114" t="s">
        <v>181</v>
      </c>
      <c r="D66" s="50" t="s">
        <v>182</v>
      </c>
      <c r="E66" s="4"/>
      <c r="F66" s="120">
        <v>5000</v>
      </c>
      <c r="G66" s="545"/>
      <c r="H66" s="545"/>
      <c r="I66" s="545"/>
      <c r="J66" s="545"/>
      <c r="K66" s="545"/>
      <c r="L66" s="545"/>
      <c r="M66" s="545"/>
      <c r="N66" s="538">
        <f t="shared" si="28"/>
        <v>5000</v>
      </c>
      <c r="O66" s="120">
        <v>40.56</v>
      </c>
      <c r="P66" s="120"/>
      <c r="Q66" s="120">
        <v>77.1</v>
      </c>
      <c r="R66" s="120">
        <v>17.73</v>
      </c>
      <c r="S66" s="120"/>
      <c r="T66" s="120"/>
      <c r="U66" s="120"/>
      <c r="V66" s="120"/>
      <c r="W66" s="120"/>
      <c r="X66" s="120"/>
      <c r="Y66" s="120"/>
      <c r="Z66" s="120"/>
      <c r="AA66" s="116">
        <f t="shared" si="34"/>
        <v>135.39</v>
      </c>
      <c r="AB66" s="8">
        <f t="shared" si="6"/>
        <v>2.7077999999999998</v>
      </c>
      <c r="AC66" s="6" t="s">
        <v>103</v>
      </c>
    </row>
    <row r="67" spans="1:29" s="118" customFormat="1" ht="38.25">
      <c r="A67" s="439"/>
      <c r="B67" s="439">
        <v>75621</v>
      </c>
      <c r="C67" s="439"/>
      <c r="D67" s="440" t="s">
        <v>520</v>
      </c>
      <c r="E67" s="543"/>
      <c r="F67" s="402">
        <f>SUM(F68:F69)</f>
        <v>3213132</v>
      </c>
      <c r="G67" s="442">
        <f>SUM(G68:G69)</f>
        <v>0</v>
      </c>
      <c r="H67" s="442">
        <f aca="true" t="shared" si="37" ref="H67:M67">SUM(H68:H69)</f>
        <v>0</v>
      </c>
      <c r="I67" s="442">
        <f t="shared" si="37"/>
        <v>0</v>
      </c>
      <c r="J67" s="442">
        <f t="shared" si="37"/>
        <v>0</v>
      </c>
      <c r="K67" s="442">
        <f t="shared" si="37"/>
        <v>0</v>
      </c>
      <c r="L67" s="442">
        <f t="shared" si="37"/>
        <v>0</v>
      </c>
      <c r="M67" s="442">
        <f t="shared" si="37"/>
        <v>0</v>
      </c>
      <c r="N67" s="544">
        <f>SUM(N68:N69)</f>
        <v>3213132</v>
      </c>
      <c r="O67" s="402">
        <f>SUM(O68:O69)</f>
        <v>0</v>
      </c>
      <c r="P67" s="402">
        <f aca="true" t="shared" si="38" ref="P67:Z67">SUM(P68:P69)</f>
        <v>229032.3</v>
      </c>
      <c r="Q67" s="402">
        <f t="shared" si="38"/>
        <v>421428.71</v>
      </c>
      <c r="R67" s="402">
        <f t="shared" si="38"/>
        <v>260393.7</v>
      </c>
      <c r="S67" s="402">
        <f t="shared" si="38"/>
        <v>373483.07</v>
      </c>
      <c r="T67" s="402">
        <f t="shared" si="38"/>
        <v>210230.23</v>
      </c>
      <c r="U67" s="402">
        <f t="shared" si="38"/>
        <v>168791.47</v>
      </c>
      <c r="V67" s="402">
        <f t="shared" si="38"/>
        <v>0</v>
      </c>
      <c r="W67" s="402">
        <f t="shared" si="38"/>
        <v>0</v>
      </c>
      <c r="X67" s="402">
        <f t="shared" si="38"/>
        <v>0</v>
      </c>
      <c r="Y67" s="402">
        <f t="shared" si="38"/>
        <v>0</v>
      </c>
      <c r="Z67" s="402">
        <f t="shared" si="38"/>
        <v>0</v>
      </c>
      <c r="AA67" s="402">
        <f>SUM(AA68:AA69)</f>
        <v>1663359.48</v>
      </c>
      <c r="AB67" s="119">
        <f t="shared" si="6"/>
        <v>51.76754269665859</v>
      </c>
      <c r="AC67" s="402"/>
    </row>
    <row r="68" spans="1:29" s="118" customFormat="1" ht="45">
      <c r="A68" s="439"/>
      <c r="B68" s="49"/>
      <c r="C68" s="114" t="s">
        <v>521</v>
      </c>
      <c r="D68" s="50" t="s">
        <v>522</v>
      </c>
      <c r="E68" s="4" t="s">
        <v>71</v>
      </c>
      <c r="F68" s="120">
        <v>2863132</v>
      </c>
      <c r="G68" s="545"/>
      <c r="H68" s="545"/>
      <c r="I68" s="545"/>
      <c r="J68" s="545"/>
      <c r="K68" s="545"/>
      <c r="L68" s="545"/>
      <c r="M68" s="545"/>
      <c r="N68" s="538">
        <f t="shared" si="28"/>
        <v>2863132</v>
      </c>
      <c r="O68" s="120"/>
      <c r="P68" s="120">
        <v>207846</v>
      </c>
      <c r="Q68" s="120">
        <f>210779+171793</f>
        <v>382572</v>
      </c>
      <c r="R68" s="120"/>
      <c r="S68" s="120">
        <v>365025</v>
      </c>
      <c r="T68" s="120">
        <v>202452</v>
      </c>
      <c r="U68" s="120">
        <f>172645</f>
        <v>172645</v>
      </c>
      <c r="V68" s="120"/>
      <c r="W68" s="120"/>
      <c r="X68" s="120"/>
      <c r="Y68" s="120"/>
      <c r="Z68" s="120"/>
      <c r="AA68" s="116">
        <f t="shared" si="34"/>
        <v>1330540</v>
      </c>
      <c r="AB68" s="8">
        <f t="shared" si="6"/>
        <v>46.47148647006146</v>
      </c>
      <c r="AC68" s="4" t="s">
        <v>1047</v>
      </c>
    </row>
    <row r="69" spans="1:29" s="118" customFormat="1" ht="45">
      <c r="A69" s="439"/>
      <c r="B69" s="49"/>
      <c r="C69" s="114" t="s">
        <v>537</v>
      </c>
      <c r="D69" s="50" t="s">
        <v>538</v>
      </c>
      <c r="E69" s="4"/>
      <c r="F69" s="120">
        <v>350000</v>
      </c>
      <c r="G69" s="545"/>
      <c r="H69" s="545"/>
      <c r="I69" s="545"/>
      <c r="J69" s="545"/>
      <c r="K69" s="545"/>
      <c r="L69" s="545"/>
      <c r="M69" s="545"/>
      <c r="N69" s="538">
        <f t="shared" si="28"/>
        <v>350000</v>
      </c>
      <c r="O69" s="120"/>
      <c r="P69" s="120">
        <v>21186.3</v>
      </c>
      <c r="Q69" s="120">
        <f>38656.71+200</f>
        <v>38856.71</v>
      </c>
      <c r="R69" s="120">
        <v>260393.7</v>
      </c>
      <c r="S69" s="120">
        <v>8458.07</v>
      </c>
      <c r="T69" s="120">
        <f>7978.23-200</f>
        <v>7778.23</v>
      </c>
      <c r="U69" s="120">
        <f>83.95+7934.13+135.22-12006.82-0.01</f>
        <v>-3853.5299999999997</v>
      </c>
      <c r="V69" s="120"/>
      <c r="W69" s="120"/>
      <c r="X69" s="120"/>
      <c r="Y69" s="120"/>
      <c r="Z69" s="120"/>
      <c r="AA69" s="116">
        <f t="shared" si="34"/>
        <v>332819.48</v>
      </c>
      <c r="AB69" s="8">
        <f t="shared" si="6"/>
        <v>95.09128</v>
      </c>
      <c r="AC69" s="4" t="s">
        <v>539</v>
      </c>
    </row>
    <row r="70" spans="1:29" s="118" customFormat="1" ht="12.75">
      <c r="A70" s="444">
        <v>758</v>
      </c>
      <c r="B70" s="444"/>
      <c r="C70" s="444"/>
      <c r="D70" s="445" t="s">
        <v>540</v>
      </c>
      <c r="E70" s="3"/>
      <c r="F70" s="441">
        <f>F71+F73+F75+F78</f>
        <v>4931203</v>
      </c>
      <c r="G70" s="542">
        <f>G71+G73+G75+G78</f>
        <v>493983</v>
      </c>
      <c r="H70" s="542">
        <f aca="true" t="shared" si="39" ref="H70:M70">H71+H73+H75+H78</f>
        <v>10000</v>
      </c>
      <c r="I70" s="542">
        <f t="shared" si="39"/>
        <v>100000</v>
      </c>
      <c r="J70" s="542">
        <f t="shared" si="39"/>
        <v>0</v>
      </c>
      <c r="K70" s="542">
        <f t="shared" si="39"/>
        <v>0</v>
      </c>
      <c r="L70" s="542">
        <f t="shared" si="39"/>
        <v>0</v>
      </c>
      <c r="M70" s="542">
        <f t="shared" si="39"/>
        <v>0</v>
      </c>
      <c r="N70" s="441">
        <f>N71+N73+N75+N78</f>
        <v>5535186</v>
      </c>
      <c r="O70" s="441">
        <f>O71+O73+O75+O78</f>
        <v>704607</v>
      </c>
      <c r="P70" s="441">
        <f aca="true" t="shared" si="40" ref="P70:Z70">P71+P73+P75+P78</f>
        <v>856603.75</v>
      </c>
      <c r="Q70" s="441">
        <f t="shared" si="40"/>
        <v>429401.23</v>
      </c>
      <c r="R70" s="441">
        <f t="shared" si="40"/>
        <v>421335.16</v>
      </c>
      <c r="S70" s="441">
        <f>S71+S73+S75+S78</f>
        <v>421325</v>
      </c>
      <c r="T70" s="441">
        <f>T71+T73+T75+T78</f>
        <v>432882.75</v>
      </c>
      <c r="U70" s="441">
        <f t="shared" si="40"/>
        <v>0</v>
      </c>
      <c r="V70" s="441">
        <f t="shared" si="40"/>
        <v>0</v>
      </c>
      <c r="W70" s="441">
        <f t="shared" si="40"/>
        <v>0</v>
      </c>
      <c r="X70" s="441">
        <f t="shared" si="40"/>
        <v>0</v>
      </c>
      <c r="Y70" s="441">
        <f t="shared" si="40"/>
        <v>0</v>
      </c>
      <c r="Z70" s="441">
        <f t="shared" si="40"/>
        <v>0</v>
      </c>
      <c r="AA70" s="441">
        <f>AA71+AA73+AA75+AA78</f>
        <v>3266154.89</v>
      </c>
      <c r="AB70" s="113">
        <f t="shared" si="6"/>
        <v>59.00713887482733</v>
      </c>
      <c r="AC70" s="441"/>
    </row>
    <row r="71" spans="1:29" s="118" customFormat="1" ht="29.25" customHeight="1">
      <c r="A71" s="439"/>
      <c r="B71" s="439">
        <v>75801</v>
      </c>
      <c r="C71" s="439"/>
      <c r="D71" s="440" t="s">
        <v>541</v>
      </c>
      <c r="E71" s="543"/>
      <c r="F71" s="402">
        <f aca="true" t="shared" si="41" ref="F71:AA71">F72</f>
        <v>4176658</v>
      </c>
      <c r="G71" s="442">
        <f t="shared" si="41"/>
        <v>493983</v>
      </c>
      <c r="H71" s="442">
        <f t="shared" si="41"/>
        <v>0</v>
      </c>
      <c r="I71" s="442">
        <f t="shared" si="41"/>
        <v>0</v>
      </c>
      <c r="J71" s="442">
        <f t="shared" si="41"/>
        <v>0</v>
      </c>
      <c r="K71" s="442">
        <f t="shared" si="41"/>
        <v>0</v>
      </c>
      <c r="L71" s="442">
        <f t="shared" si="41"/>
        <v>0</v>
      </c>
      <c r="M71" s="442">
        <f t="shared" si="41"/>
        <v>0</v>
      </c>
      <c r="N71" s="544">
        <f t="shared" si="41"/>
        <v>4670641</v>
      </c>
      <c r="O71" s="402">
        <f t="shared" si="41"/>
        <v>642562</v>
      </c>
      <c r="P71" s="402">
        <f t="shared" si="41"/>
        <v>794558</v>
      </c>
      <c r="Q71" s="402">
        <f t="shared" si="41"/>
        <v>359280</v>
      </c>
      <c r="R71" s="402">
        <f t="shared" si="41"/>
        <v>359280</v>
      </c>
      <c r="S71" s="402">
        <f t="shared" si="41"/>
        <v>359280</v>
      </c>
      <c r="T71" s="402">
        <f t="shared" si="41"/>
        <v>359280</v>
      </c>
      <c r="U71" s="402">
        <f t="shared" si="41"/>
        <v>0</v>
      </c>
      <c r="V71" s="402">
        <f t="shared" si="41"/>
        <v>0</v>
      </c>
      <c r="W71" s="402">
        <f t="shared" si="41"/>
        <v>0</v>
      </c>
      <c r="X71" s="402">
        <f t="shared" si="41"/>
        <v>0</v>
      </c>
      <c r="Y71" s="402">
        <f t="shared" si="41"/>
        <v>0</v>
      </c>
      <c r="Z71" s="402">
        <f t="shared" si="41"/>
        <v>0</v>
      </c>
      <c r="AA71" s="402">
        <f t="shared" si="41"/>
        <v>2874240</v>
      </c>
      <c r="AB71" s="119">
        <f t="shared" si="6"/>
        <v>61.538448362869254</v>
      </c>
      <c r="AC71" s="402"/>
    </row>
    <row r="72" spans="1:29" s="118" customFormat="1" ht="45">
      <c r="A72" s="439"/>
      <c r="B72" s="49"/>
      <c r="C72" s="49">
        <v>2920</v>
      </c>
      <c r="D72" s="50" t="s">
        <v>542</v>
      </c>
      <c r="E72" s="4" t="s">
        <v>71</v>
      </c>
      <c r="F72" s="120">
        <v>4176658</v>
      </c>
      <c r="G72" s="545">
        <v>493983</v>
      </c>
      <c r="H72" s="545"/>
      <c r="I72" s="545"/>
      <c r="J72" s="545"/>
      <c r="K72" s="545"/>
      <c r="L72" s="545"/>
      <c r="M72" s="545"/>
      <c r="N72" s="538">
        <f aca="true" t="shared" si="42" ref="N72:N79">F72+G72+H72+I72+J72+K72+L72+M72</f>
        <v>4670641</v>
      </c>
      <c r="O72" s="120">
        <v>642562</v>
      </c>
      <c r="P72" s="120">
        <v>794558</v>
      </c>
      <c r="Q72" s="120">
        <v>359280</v>
      </c>
      <c r="R72" s="120">
        <v>359280</v>
      </c>
      <c r="S72" s="120">
        <v>359280</v>
      </c>
      <c r="T72" s="120">
        <v>359280</v>
      </c>
      <c r="U72" s="120"/>
      <c r="V72" s="120"/>
      <c r="W72" s="120"/>
      <c r="X72" s="120"/>
      <c r="Y72" s="120"/>
      <c r="Z72" s="120"/>
      <c r="AA72" s="116">
        <f>SUM(O72:Z72)</f>
        <v>2874240</v>
      </c>
      <c r="AB72" s="8">
        <f t="shared" si="6"/>
        <v>61.538448362869254</v>
      </c>
      <c r="AC72" s="4" t="s">
        <v>1047</v>
      </c>
    </row>
    <row r="73" spans="1:29" s="118" customFormat="1" ht="28.5" customHeight="1">
      <c r="A73" s="439"/>
      <c r="B73" s="439">
        <v>75807</v>
      </c>
      <c r="C73" s="439"/>
      <c r="D73" s="440" t="s">
        <v>543</v>
      </c>
      <c r="E73" s="543"/>
      <c r="F73" s="402">
        <f aca="true" t="shared" si="43" ref="F73:AA73">F74</f>
        <v>666122</v>
      </c>
      <c r="G73" s="442">
        <f t="shared" si="43"/>
        <v>0</v>
      </c>
      <c r="H73" s="442">
        <f t="shared" si="43"/>
        <v>0</v>
      </c>
      <c r="I73" s="442">
        <f t="shared" si="43"/>
        <v>0</v>
      </c>
      <c r="J73" s="442">
        <f t="shared" si="43"/>
        <v>0</v>
      </c>
      <c r="K73" s="442">
        <f t="shared" si="43"/>
        <v>0</v>
      </c>
      <c r="L73" s="442">
        <f t="shared" si="43"/>
        <v>0</v>
      </c>
      <c r="M73" s="442">
        <f t="shared" si="43"/>
        <v>0</v>
      </c>
      <c r="N73" s="544">
        <f t="shared" si="43"/>
        <v>666122</v>
      </c>
      <c r="O73" s="402">
        <f t="shared" si="43"/>
        <v>55510</v>
      </c>
      <c r="P73" s="402">
        <f t="shared" si="43"/>
        <v>55510</v>
      </c>
      <c r="Q73" s="402">
        <f t="shared" si="43"/>
        <v>55510</v>
      </c>
      <c r="R73" s="402">
        <f t="shared" si="43"/>
        <v>55510</v>
      </c>
      <c r="S73" s="402">
        <f t="shared" si="43"/>
        <v>55510</v>
      </c>
      <c r="T73" s="402">
        <f t="shared" si="43"/>
        <v>55510</v>
      </c>
      <c r="U73" s="402">
        <f t="shared" si="43"/>
        <v>0</v>
      </c>
      <c r="V73" s="402">
        <f t="shared" si="43"/>
        <v>0</v>
      </c>
      <c r="W73" s="402">
        <f t="shared" si="43"/>
        <v>0</v>
      </c>
      <c r="X73" s="402">
        <f t="shared" si="43"/>
        <v>0</v>
      </c>
      <c r="Y73" s="402">
        <f t="shared" si="43"/>
        <v>0</v>
      </c>
      <c r="Z73" s="402">
        <f t="shared" si="43"/>
        <v>0</v>
      </c>
      <c r="AA73" s="402">
        <f t="shared" si="43"/>
        <v>333060</v>
      </c>
      <c r="AB73" s="119">
        <f t="shared" si="6"/>
        <v>49.999849877349796</v>
      </c>
      <c r="AC73" s="402"/>
    </row>
    <row r="74" spans="1:29" s="118" customFormat="1" ht="45">
      <c r="A74" s="439"/>
      <c r="B74" s="49"/>
      <c r="C74" s="49">
        <v>2920</v>
      </c>
      <c r="D74" s="50" t="s">
        <v>542</v>
      </c>
      <c r="E74" s="4" t="s">
        <v>71</v>
      </c>
      <c r="F74" s="120">
        <v>666122</v>
      </c>
      <c r="G74" s="545"/>
      <c r="H74" s="545"/>
      <c r="I74" s="545"/>
      <c r="J74" s="545"/>
      <c r="K74" s="545"/>
      <c r="L74" s="545"/>
      <c r="M74" s="545"/>
      <c r="N74" s="538">
        <f t="shared" si="42"/>
        <v>666122</v>
      </c>
      <c r="O74" s="120">
        <v>55510</v>
      </c>
      <c r="P74" s="120">
        <v>55510</v>
      </c>
      <c r="Q74" s="120">
        <v>55510</v>
      </c>
      <c r="R74" s="120">
        <v>55510</v>
      </c>
      <c r="S74" s="120">
        <v>55510</v>
      </c>
      <c r="T74" s="120">
        <v>55510</v>
      </c>
      <c r="U74" s="120"/>
      <c r="V74" s="120"/>
      <c r="W74" s="120"/>
      <c r="X74" s="120"/>
      <c r="Y74" s="120"/>
      <c r="Z74" s="120"/>
      <c r="AA74" s="116">
        <f>SUM(O74:Z74)</f>
        <v>333060</v>
      </c>
      <c r="AB74" s="8">
        <f aca="true" t="shared" si="44" ref="AB74:AB109">AA74*100/N74</f>
        <v>49.999849877349796</v>
      </c>
      <c r="AC74" s="4" t="s">
        <v>1047</v>
      </c>
    </row>
    <row r="75" spans="1:29" s="127" customFormat="1" ht="16.5" customHeight="1">
      <c r="A75" s="439"/>
      <c r="B75" s="439">
        <v>75814</v>
      </c>
      <c r="C75" s="439"/>
      <c r="D75" s="440" t="s">
        <v>544</v>
      </c>
      <c r="E75" s="543"/>
      <c r="F75" s="402">
        <f aca="true" t="shared" si="45" ref="F75:Z75">F76</f>
        <v>10000</v>
      </c>
      <c r="G75" s="442">
        <f t="shared" si="45"/>
        <v>0</v>
      </c>
      <c r="H75" s="442">
        <f t="shared" si="45"/>
        <v>10000</v>
      </c>
      <c r="I75" s="442">
        <f t="shared" si="45"/>
        <v>100000</v>
      </c>
      <c r="J75" s="442">
        <f t="shared" si="45"/>
        <v>0</v>
      </c>
      <c r="K75" s="442">
        <f t="shared" si="45"/>
        <v>0</v>
      </c>
      <c r="L75" s="442">
        <f t="shared" si="45"/>
        <v>0</v>
      </c>
      <c r="M75" s="442">
        <f t="shared" si="45"/>
        <v>0</v>
      </c>
      <c r="N75" s="544">
        <f>N76+N77</f>
        <v>120000</v>
      </c>
      <c r="O75" s="402">
        <f t="shared" si="45"/>
        <v>0</v>
      </c>
      <c r="P75" s="402">
        <f t="shared" si="45"/>
        <v>0.75</v>
      </c>
      <c r="Q75" s="402">
        <f t="shared" si="45"/>
        <v>8076.23</v>
      </c>
      <c r="R75" s="402">
        <f t="shared" si="45"/>
        <v>10.16</v>
      </c>
      <c r="S75" s="402">
        <f t="shared" si="45"/>
        <v>0</v>
      </c>
      <c r="T75" s="402">
        <f t="shared" si="45"/>
        <v>11557.75</v>
      </c>
      <c r="U75" s="402">
        <f t="shared" si="45"/>
        <v>0</v>
      </c>
      <c r="V75" s="402">
        <f t="shared" si="45"/>
        <v>0</v>
      </c>
      <c r="W75" s="402">
        <f t="shared" si="45"/>
        <v>0</v>
      </c>
      <c r="X75" s="402">
        <f t="shared" si="45"/>
        <v>0</v>
      </c>
      <c r="Y75" s="402">
        <f t="shared" si="45"/>
        <v>0</v>
      </c>
      <c r="Z75" s="402">
        <f t="shared" si="45"/>
        <v>0</v>
      </c>
      <c r="AA75" s="402">
        <f>AA76+AA77</f>
        <v>19644.89</v>
      </c>
      <c r="AB75" s="119">
        <f t="shared" si="44"/>
        <v>16.370741666666667</v>
      </c>
      <c r="AC75" s="402"/>
    </row>
    <row r="76" spans="1:29" s="118" customFormat="1" ht="22.5">
      <c r="A76" s="439"/>
      <c r="B76" s="49"/>
      <c r="C76" s="114" t="s">
        <v>184</v>
      </c>
      <c r="D76" s="50" t="s">
        <v>185</v>
      </c>
      <c r="E76" s="4" t="s">
        <v>72</v>
      </c>
      <c r="F76" s="120">
        <v>10000</v>
      </c>
      <c r="G76" s="545"/>
      <c r="H76" s="545">
        <v>10000</v>
      </c>
      <c r="I76" s="545">
        <v>100000</v>
      </c>
      <c r="J76" s="545"/>
      <c r="K76" s="545"/>
      <c r="L76" s="545"/>
      <c r="M76" s="545"/>
      <c r="N76" s="538">
        <f t="shared" si="42"/>
        <v>120000</v>
      </c>
      <c r="O76" s="120"/>
      <c r="P76" s="120">
        <v>0.75</v>
      </c>
      <c r="Q76" s="120">
        <v>8076.23</v>
      </c>
      <c r="R76" s="120">
        <v>10.16</v>
      </c>
      <c r="S76" s="120"/>
      <c r="T76" s="120">
        <v>11557.75</v>
      </c>
      <c r="U76" s="120"/>
      <c r="V76" s="120"/>
      <c r="W76" s="120"/>
      <c r="X76" s="120"/>
      <c r="Y76" s="120"/>
      <c r="Z76" s="120"/>
      <c r="AA76" s="116">
        <f>SUM(O76:Z76)</f>
        <v>19644.89</v>
      </c>
      <c r="AB76" s="424">
        <f t="shared" si="44"/>
        <v>16.370741666666667</v>
      </c>
      <c r="AC76" s="4" t="s">
        <v>72</v>
      </c>
    </row>
    <row r="77" spans="1:29" s="118" customFormat="1" ht="25.5" customHeight="1" hidden="1">
      <c r="A77" s="439"/>
      <c r="B77" s="49"/>
      <c r="C77" s="114">
        <v>2370</v>
      </c>
      <c r="D77" s="50" t="s">
        <v>613</v>
      </c>
      <c r="E77" s="4"/>
      <c r="F77" s="120"/>
      <c r="G77" s="545"/>
      <c r="H77" s="545"/>
      <c r="I77" s="545"/>
      <c r="J77" s="545"/>
      <c r="K77" s="545"/>
      <c r="L77" s="545"/>
      <c r="M77" s="545"/>
      <c r="N77" s="538">
        <f t="shared" si="42"/>
        <v>0</v>
      </c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16">
        <f>SUM(O77:Z77)</f>
        <v>0</v>
      </c>
      <c r="AB77" s="424" t="e">
        <f t="shared" si="44"/>
        <v>#DIV/0!</v>
      </c>
      <c r="AC77" s="116"/>
    </row>
    <row r="78" spans="1:29" s="118" customFormat="1" ht="29.25" customHeight="1">
      <c r="A78" s="439"/>
      <c r="B78" s="439">
        <v>75831</v>
      </c>
      <c r="C78" s="439"/>
      <c r="D78" s="440" t="s">
        <v>545</v>
      </c>
      <c r="E78" s="543"/>
      <c r="F78" s="402">
        <f aca="true" t="shared" si="46" ref="F78:Z78">F79</f>
        <v>78423</v>
      </c>
      <c r="G78" s="442">
        <f t="shared" si="46"/>
        <v>0</v>
      </c>
      <c r="H78" s="442">
        <f t="shared" si="46"/>
        <v>0</v>
      </c>
      <c r="I78" s="442">
        <f t="shared" si="46"/>
        <v>0</v>
      </c>
      <c r="J78" s="442">
        <f t="shared" si="46"/>
        <v>0</v>
      </c>
      <c r="K78" s="442">
        <f t="shared" si="46"/>
        <v>0</v>
      </c>
      <c r="L78" s="442">
        <f t="shared" si="46"/>
        <v>0</v>
      </c>
      <c r="M78" s="442">
        <f t="shared" si="46"/>
        <v>0</v>
      </c>
      <c r="N78" s="544">
        <f t="shared" si="46"/>
        <v>78423</v>
      </c>
      <c r="O78" s="402">
        <f t="shared" si="46"/>
        <v>6535</v>
      </c>
      <c r="P78" s="402">
        <f t="shared" si="46"/>
        <v>6535</v>
      </c>
      <c r="Q78" s="402">
        <f t="shared" si="46"/>
        <v>6535</v>
      </c>
      <c r="R78" s="402">
        <f t="shared" si="46"/>
        <v>6535</v>
      </c>
      <c r="S78" s="402">
        <f t="shared" si="46"/>
        <v>6535</v>
      </c>
      <c r="T78" s="402">
        <f t="shared" si="46"/>
        <v>6535</v>
      </c>
      <c r="U78" s="402">
        <f t="shared" si="46"/>
        <v>0</v>
      </c>
      <c r="V78" s="402">
        <f t="shared" si="46"/>
        <v>0</v>
      </c>
      <c r="W78" s="402">
        <f t="shared" si="46"/>
        <v>0</v>
      </c>
      <c r="X78" s="402">
        <f t="shared" si="46"/>
        <v>0</v>
      </c>
      <c r="Y78" s="402">
        <f t="shared" si="46"/>
        <v>0</v>
      </c>
      <c r="Z78" s="402">
        <f t="shared" si="46"/>
        <v>0</v>
      </c>
      <c r="AA78" s="402">
        <f>AA79</f>
        <v>39210</v>
      </c>
      <c r="AB78" s="119">
        <f>AA78*100/N78</f>
        <v>49.99808729581883</v>
      </c>
      <c r="AC78" s="402"/>
    </row>
    <row r="79" spans="1:29" s="118" customFormat="1" ht="45">
      <c r="A79" s="439"/>
      <c r="B79" s="49"/>
      <c r="C79" s="49">
        <v>2920</v>
      </c>
      <c r="D79" s="50" t="s">
        <v>542</v>
      </c>
      <c r="E79" s="4" t="s">
        <v>71</v>
      </c>
      <c r="F79" s="120">
        <v>78423</v>
      </c>
      <c r="G79" s="545"/>
      <c r="H79" s="545"/>
      <c r="I79" s="545"/>
      <c r="J79" s="545"/>
      <c r="K79" s="545"/>
      <c r="L79" s="545"/>
      <c r="M79" s="545"/>
      <c r="N79" s="538">
        <f t="shared" si="42"/>
        <v>78423</v>
      </c>
      <c r="O79" s="120">
        <v>6535</v>
      </c>
      <c r="P79" s="120">
        <v>6535</v>
      </c>
      <c r="Q79" s="120">
        <v>6535</v>
      </c>
      <c r="R79" s="120">
        <v>6535</v>
      </c>
      <c r="S79" s="120">
        <v>6535</v>
      </c>
      <c r="T79" s="120">
        <v>6535</v>
      </c>
      <c r="U79" s="120"/>
      <c r="V79" s="120"/>
      <c r="W79" s="120"/>
      <c r="X79" s="120"/>
      <c r="Y79" s="120"/>
      <c r="Z79" s="120"/>
      <c r="AA79" s="116">
        <f>SUM(O79:Z79)</f>
        <v>39210</v>
      </c>
      <c r="AB79" s="8">
        <f>AA79*100/N79</f>
        <v>49.99808729581883</v>
      </c>
      <c r="AC79" s="4" t="s">
        <v>1047</v>
      </c>
    </row>
    <row r="80" spans="1:29" s="118" customFormat="1" ht="15" customHeight="1">
      <c r="A80" s="444">
        <v>801</v>
      </c>
      <c r="B80" s="444"/>
      <c r="C80" s="444"/>
      <c r="D80" s="445" t="s">
        <v>546</v>
      </c>
      <c r="E80" s="3"/>
      <c r="F80" s="441">
        <f>F81+F84+F88+F91+F93+F96</f>
        <v>156483</v>
      </c>
      <c r="G80" s="542">
        <f>G81+G84+G88+G91+G93+G96</f>
        <v>0</v>
      </c>
      <c r="H80" s="542">
        <f aca="true" t="shared" si="47" ref="H80:M80">H81+H84+H88+H91+H93+H96</f>
        <v>0</v>
      </c>
      <c r="I80" s="542">
        <f t="shared" si="47"/>
        <v>74908</v>
      </c>
      <c r="J80" s="542">
        <f t="shared" si="47"/>
        <v>0</v>
      </c>
      <c r="K80" s="542">
        <f t="shared" si="47"/>
        <v>0</v>
      </c>
      <c r="L80" s="542">
        <f t="shared" si="47"/>
        <v>0</v>
      </c>
      <c r="M80" s="542">
        <f t="shared" si="47"/>
        <v>0</v>
      </c>
      <c r="N80" s="441">
        <f>N81+N84+N88+N91+N93+N96</f>
        <v>231391</v>
      </c>
      <c r="O80" s="441">
        <f>O81+O84+O88+O91+O93+O96</f>
        <v>17529</v>
      </c>
      <c r="P80" s="441">
        <f aca="true" t="shared" si="48" ref="P80:Z80">P81+P84+P88+P91+P93+P96</f>
        <v>12719.23</v>
      </c>
      <c r="Q80" s="441">
        <f t="shared" si="48"/>
        <v>11217.060000000001</v>
      </c>
      <c r="R80" s="441">
        <f t="shared" si="48"/>
        <v>10768</v>
      </c>
      <c r="S80" s="441">
        <f t="shared" si="48"/>
        <v>42033.54</v>
      </c>
      <c r="T80" s="441">
        <f t="shared" si="48"/>
        <v>69221.35</v>
      </c>
      <c r="U80" s="441">
        <f t="shared" si="48"/>
        <v>0</v>
      </c>
      <c r="V80" s="441">
        <f t="shared" si="48"/>
        <v>0</v>
      </c>
      <c r="W80" s="441">
        <f t="shared" si="48"/>
        <v>0</v>
      </c>
      <c r="X80" s="441">
        <f t="shared" si="48"/>
        <v>0</v>
      </c>
      <c r="Y80" s="441">
        <f t="shared" si="48"/>
        <v>0</v>
      </c>
      <c r="Z80" s="441">
        <f t="shared" si="48"/>
        <v>0</v>
      </c>
      <c r="AA80" s="441">
        <f>AA81+AA84+AA88+AA91+AA93+AA96</f>
        <v>163488.18</v>
      </c>
      <c r="AB80" s="113">
        <f t="shared" si="44"/>
        <v>70.65451119533603</v>
      </c>
      <c r="AC80" s="441"/>
    </row>
    <row r="81" spans="1:29" s="118" customFormat="1" ht="12.75" customHeight="1">
      <c r="A81" s="35"/>
      <c r="B81" s="35">
        <v>80101</v>
      </c>
      <c r="C81" s="35"/>
      <c r="D81" s="440" t="s">
        <v>547</v>
      </c>
      <c r="E81" s="543"/>
      <c r="F81" s="402">
        <f aca="true" t="shared" si="49" ref="F81:Z81">F82</f>
        <v>18500</v>
      </c>
      <c r="G81" s="442">
        <f t="shared" si="49"/>
        <v>0</v>
      </c>
      <c r="H81" s="442">
        <f t="shared" si="49"/>
        <v>0</v>
      </c>
      <c r="I81" s="442">
        <f>I82+I83</f>
        <v>29610</v>
      </c>
      <c r="J81" s="442">
        <f t="shared" si="49"/>
        <v>0</v>
      </c>
      <c r="K81" s="442">
        <f t="shared" si="49"/>
        <v>0</v>
      </c>
      <c r="L81" s="442">
        <f t="shared" si="49"/>
        <v>0</v>
      </c>
      <c r="M81" s="442">
        <f t="shared" si="49"/>
        <v>0</v>
      </c>
      <c r="N81" s="544">
        <f>N82+N83</f>
        <v>48110</v>
      </c>
      <c r="O81" s="402">
        <f t="shared" si="49"/>
        <v>600</v>
      </c>
      <c r="P81" s="402">
        <f t="shared" si="49"/>
        <v>0</v>
      </c>
      <c r="Q81" s="402">
        <f t="shared" si="49"/>
        <v>0</v>
      </c>
      <c r="R81" s="402">
        <f t="shared" si="49"/>
        <v>0</v>
      </c>
      <c r="S81" s="402">
        <f>S82+S83</f>
        <v>28837.98</v>
      </c>
      <c r="T81" s="402">
        <f>T82+T83</f>
        <v>3702</v>
      </c>
      <c r="U81" s="402">
        <f t="shared" si="49"/>
        <v>0</v>
      </c>
      <c r="V81" s="402">
        <f t="shared" si="49"/>
        <v>0</v>
      </c>
      <c r="W81" s="402">
        <f t="shared" si="49"/>
        <v>0</v>
      </c>
      <c r="X81" s="402">
        <f t="shared" si="49"/>
        <v>0</v>
      </c>
      <c r="Y81" s="402">
        <f t="shared" si="49"/>
        <v>0</v>
      </c>
      <c r="Z81" s="402">
        <f t="shared" si="49"/>
        <v>0</v>
      </c>
      <c r="AA81" s="402">
        <f>AA82+AA83</f>
        <v>33139.98</v>
      </c>
      <c r="AB81" s="119">
        <f t="shared" si="44"/>
        <v>68.88376636873832</v>
      </c>
      <c r="AC81" s="402"/>
    </row>
    <row r="82" spans="1:29" s="123" customFormat="1" ht="33.75">
      <c r="A82" s="121"/>
      <c r="B82" s="121"/>
      <c r="C82" s="128" t="s">
        <v>159</v>
      </c>
      <c r="D82" s="129" t="s">
        <v>160</v>
      </c>
      <c r="E82" s="6" t="s">
        <v>73</v>
      </c>
      <c r="F82" s="124">
        <v>18500</v>
      </c>
      <c r="G82" s="449"/>
      <c r="H82" s="449"/>
      <c r="I82" s="449"/>
      <c r="J82" s="449"/>
      <c r="K82" s="449"/>
      <c r="L82" s="449"/>
      <c r="M82" s="449"/>
      <c r="N82" s="538">
        <f aca="true" t="shared" si="50" ref="N82:N90">F82+G82+H82+I82+J82+K82+L82+M82</f>
        <v>18500</v>
      </c>
      <c r="O82" s="124">
        <v>600</v>
      </c>
      <c r="P82" s="124"/>
      <c r="Q82" s="124"/>
      <c r="R82" s="124"/>
      <c r="S82" s="124">
        <v>2929.98</v>
      </c>
      <c r="T82" s="124"/>
      <c r="U82" s="124"/>
      <c r="V82" s="124"/>
      <c r="W82" s="124"/>
      <c r="X82" s="124"/>
      <c r="Y82" s="124"/>
      <c r="Z82" s="124"/>
      <c r="AA82" s="116">
        <f>SUM(O82:Z82)</f>
        <v>3529.98</v>
      </c>
      <c r="AB82" s="424">
        <f t="shared" si="44"/>
        <v>19.080972972972972</v>
      </c>
      <c r="AC82" s="6" t="s">
        <v>73</v>
      </c>
    </row>
    <row r="83" spans="1:29" s="123" customFormat="1" ht="90">
      <c r="A83" s="121"/>
      <c r="B83" s="121"/>
      <c r="C83" s="128">
        <v>2030</v>
      </c>
      <c r="D83" s="129" t="s">
        <v>548</v>
      </c>
      <c r="E83" s="6"/>
      <c r="F83" s="124"/>
      <c r="G83" s="449"/>
      <c r="H83" s="449"/>
      <c r="I83" s="449">
        <v>29610</v>
      </c>
      <c r="J83" s="449"/>
      <c r="K83" s="449"/>
      <c r="L83" s="449"/>
      <c r="M83" s="449"/>
      <c r="N83" s="538">
        <f t="shared" si="50"/>
        <v>29610</v>
      </c>
      <c r="O83" s="124"/>
      <c r="P83" s="124"/>
      <c r="Q83" s="124"/>
      <c r="R83" s="124"/>
      <c r="S83" s="124">
        <v>25908</v>
      </c>
      <c r="T83" s="124">
        <v>3702</v>
      </c>
      <c r="U83" s="124"/>
      <c r="V83" s="124"/>
      <c r="W83" s="124"/>
      <c r="X83" s="124"/>
      <c r="Y83" s="124"/>
      <c r="Z83" s="124"/>
      <c r="AA83" s="116">
        <f>SUM(O83:Z83)</f>
        <v>29610</v>
      </c>
      <c r="AB83" s="424">
        <f t="shared" si="44"/>
        <v>100</v>
      </c>
      <c r="AC83" s="576" t="s">
        <v>91</v>
      </c>
    </row>
    <row r="84" spans="1:29" s="118" customFormat="1" ht="12.75">
      <c r="A84" s="35"/>
      <c r="B84" s="35">
        <v>80104</v>
      </c>
      <c r="C84" s="35"/>
      <c r="D84" s="36" t="s">
        <v>549</v>
      </c>
      <c r="E84" s="543"/>
      <c r="F84" s="402">
        <f>SUM(F85:F87)</f>
        <v>119600</v>
      </c>
      <c r="G84" s="442">
        <f>SUM(G85:G87)</f>
        <v>0</v>
      </c>
      <c r="H84" s="442">
        <f aca="true" t="shared" si="51" ref="H84:M84">SUM(H85:H87)</f>
        <v>0</v>
      </c>
      <c r="I84" s="442">
        <f t="shared" si="51"/>
        <v>3000</v>
      </c>
      <c r="J84" s="442">
        <f t="shared" si="51"/>
        <v>0</v>
      </c>
      <c r="K84" s="442">
        <f t="shared" si="51"/>
        <v>0</v>
      </c>
      <c r="L84" s="442">
        <f t="shared" si="51"/>
        <v>0</v>
      </c>
      <c r="M84" s="442">
        <f t="shared" si="51"/>
        <v>0</v>
      </c>
      <c r="N84" s="544">
        <f>SUM(N85:N87)</f>
        <v>122600</v>
      </c>
      <c r="O84" s="402">
        <f>SUM(O85:O87)</f>
        <v>10968</v>
      </c>
      <c r="P84" s="402">
        <f aca="true" t="shared" si="52" ref="P84:Z84">SUM(P85:P87)</f>
        <v>12719.23</v>
      </c>
      <c r="Q84" s="402">
        <f t="shared" si="52"/>
        <v>11148.19</v>
      </c>
      <c r="R84" s="402">
        <f t="shared" si="52"/>
        <v>10768</v>
      </c>
      <c r="S84" s="402">
        <f t="shared" si="52"/>
        <v>13195.56</v>
      </c>
      <c r="T84" s="402">
        <f t="shared" si="52"/>
        <v>11130.66</v>
      </c>
      <c r="U84" s="402">
        <f t="shared" si="52"/>
        <v>0</v>
      </c>
      <c r="V84" s="402">
        <f t="shared" si="52"/>
        <v>0</v>
      </c>
      <c r="W84" s="402">
        <f t="shared" si="52"/>
        <v>0</v>
      </c>
      <c r="X84" s="402">
        <f t="shared" si="52"/>
        <v>0</v>
      </c>
      <c r="Y84" s="402">
        <f t="shared" si="52"/>
        <v>0</v>
      </c>
      <c r="Z84" s="402">
        <f t="shared" si="52"/>
        <v>0</v>
      </c>
      <c r="AA84" s="402">
        <f>AA85+AA86+AA87</f>
        <v>69929.64</v>
      </c>
      <c r="AB84" s="119">
        <f t="shared" si="44"/>
        <v>57.038858075040785</v>
      </c>
      <c r="AC84" s="402"/>
    </row>
    <row r="85" spans="1:29" s="118" customFormat="1" ht="45">
      <c r="A85" s="35"/>
      <c r="B85" s="35"/>
      <c r="C85" s="114" t="s">
        <v>550</v>
      </c>
      <c r="D85" s="50" t="s">
        <v>551</v>
      </c>
      <c r="E85" s="4" t="s">
        <v>74</v>
      </c>
      <c r="F85" s="120">
        <v>116000</v>
      </c>
      <c r="G85" s="545"/>
      <c r="H85" s="545"/>
      <c r="I85" s="545"/>
      <c r="J85" s="545"/>
      <c r="K85" s="545"/>
      <c r="L85" s="545"/>
      <c r="M85" s="545"/>
      <c r="N85" s="538">
        <f t="shared" si="50"/>
        <v>116000</v>
      </c>
      <c r="O85" s="120">
        <v>10328</v>
      </c>
      <c r="P85" s="120">
        <v>11844.6</v>
      </c>
      <c r="Q85" s="120">
        <v>9888</v>
      </c>
      <c r="R85" s="120">
        <v>10768</v>
      </c>
      <c r="S85" s="120">
        <v>10728</v>
      </c>
      <c r="T85" s="120">
        <v>10448</v>
      </c>
      <c r="U85" s="120"/>
      <c r="V85" s="120"/>
      <c r="W85" s="120"/>
      <c r="X85" s="120"/>
      <c r="Y85" s="120"/>
      <c r="Z85" s="120"/>
      <c r="AA85" s="116">
        <f>SUM(O85:Z85)</f>
        <v>64004.6</v>
      </c>
      <c r="AB85" s="8">
        <f t="shared" si="44"/>
        <v>55.17637931034483</v>
      </c>
      <c r="AC85" s="4" t="s">
        <v>1048</v>
      </c>
    </row>
    <row r="86" spans="1:29" s="118" customFormat="1" ht="27.75" customHeight="1">
      <c r="A86" s="35"/>
      <c r="B86" s="35"/>
      <c r="C86" s="114" t="s">
        <v>181</v>
      </c>
      <c r="D86" s="50" t="s">
        <v>182</v>
      </c>
      <c r="E86" s="4"/>
      <c r="F86" s="120">
        <v>100</v>
      </c>
      <c r="G86" s="545"/>
      <c r="H86" s="545"/>
      <c r="I86" s="545"/>
      <c r="J86" s="545"/>
      <c r="K86" s="545"/>
      <c r="L86" s="545"/>
      <c r="M86" s="545"/>
      <c r="N86" s="538">
        <f t="shared" si="50"/>
        <v>100</v>
      </c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16">
        <f>SUM(O86:Z86)</f>
        <v>0</v>
      </c>
      <c r="AB86" s="8">
        <f t="shared" si="44"/>
        <v>0</v>
      </c>
      <c r="AC86" s="116"/>
    </row>
    <row r="87" spans="1:29" s="118" customFormat="1" ht="16.5" customHeight="1">
      <c r="A87" s="35"/>
      <c r="B87" s="35"/>
      <c r="C87" s="128" t="s">
        <v>159</v>
      </c>
      <c r="D87" s="129" t="s">
        <v>160</v>
      </c>
      <c r="E87" s="4" t="s">
        <v>75</v>
      </c>
      <c r="F87" s="120">
        <v>3500</v>
      </c>
      <c r="G87" s="545"/>
      <c r="H87" s="545"/>
      <c r="I87" s="545">
        <v>3000</v>
      </c>
      <c r="J87" s="545"/>
      <c r="K87" s="545"/>
      <c r="L87" s="545"/>
      <c r="M87" s="545"/>
      <c r="N87" s="538">
        <f t="shared" si="50"/>
        <v>6500</v>
      </c>
      <c r="O87" s="120">
        <v>640</v>
      </c>
      <c r="P87" s="120">
        <v>874.63</v>
      </c>
      <c r="Q87" s="120">
        <v>1260.19</v>
      </c>
      <c r="R87" s="120"/>
      <c r="S87" s="120">
        <v>2467.56</v>
      </c>
      <c r="T87" s="120">
        <v>682.66</v>
      </c>
      <c r="U87" s="120"/>
      <c r="V87" s="120"/>
      <c r="W87" s="120"/>
      <c r="X87" s="120"/>
      <c r="Y87" s="120"/>
      <c r="Z87" s="120"/>
      <c r="AA87" s="116">
        <f>SUM(O87:Z87)</f>
        <v>5925.04</v>
      </c>
      <c r="AB87" s="8">
        <f t="shared" si="44"/>
        <v>91.15446153846153</v>
      </c>
      <c r="AC87" s="4" t="s">
        <v>75</v>
      </c>
    </row>
    <row r="88" spans="1:29" s="118" customFormat="1" ht="12.75" customHeight="1" hidden="1">
      <c r="A88" s="35"/>
      <c r="B88" s="439">
        <v>80110</v>
      </c>
      <c r="C88" s="439"/>
      <c r="D88" s="440" t="s">
        <v>552</v>
      </c>
      <c r="E88" s="543"/>
      <c r="F88" s="402">
        <f>F89+F90</f>
        <v>0</v>
      </c>
      <c r="G88" s="442">
        <f>G89+G90</f>
        <v>0</v>
      </c>
      <c r="H88" s="442">
        <f aca="true" t="shared" si="53" ref="H88:M88">H89+H90</f>
        <v>0</v>
      </c>
      <c r="I88" s="442">
        <f t="shared" si="53"/>
        <v>0</v>
      </c>
      <c r="J88" s="442">
        <f t="shared" si="53"/>
        <v>0</v>
      </c>
      <c r="K88" s="442">
        <f t="shared" si="53"/>
        <v>0</v>
      </c>
      <c r="L88" s="442">
        <f t="shared" si="53"/>
        <v>0</v>
      </c>
      <c r="M88" s="442">
        <f t="shared" si="53"/>
        <v>0</v>
      </c>
      <c r="N88" s="544">
        <f>N89+N90</f>
        <v>0</v>
      </c>
      <c r="O88" s="402">
        <f>O89+O90</f>
        <v>0</v>
      </c>
      <c r="P88" s="402">
        <f aca="true" t="shared" si="54" ref="P88:Z88">P89+P90</f>
        <v>0</v>
      </c>
      <c r="Q88" s="402">
        <f t="shared" si="54"/>
        <v>0</v>
      </c>
      <c r="R88" s="402">
        <f t="shared" si="54"/>
        <v>0</v>
      </c>
      <c r="S88" s="402">
        <f t="shared" si="54"/>
        <v>0</v>
      </c>
      <c r="T88" s="402">
        <f t="shared" si="54"/>
        <v>0</v>
      </c>
      <c r="U88" s="402">
        <f t="shared" si="54"/>
        <v>0</v>
      </c>
      <c r="V88" s="402">
        <f t="shared" si="54"/>
        <v>0</v>
      </c>
      <c r="W88" s="402">
        <f t="shared" si="54"/>
        <v>0</v>
      </c>
      <c r="X88" s="402">
        <f t="shared" si="54"/>
        <v>0</v>
      </c>
      <c r="Y88" s="402">
        <f t="shared" si="54"/>
        <v>0</v>
      </c>
      <c r="Z88" s="402">
        <f t="shared" si="54"/>
        <v>0</v>
      </c>
      <c r="AA88" s="402">
        <f>AA89+AA90</f>
        <v>0</v>
      </c>
      <c r="AB88" s="119" t="e">
        <f t="shared" si="44"/>
        <v>#DIV/0!</v>
      </c>
      <c r="AC88" s="402"/>
    </row>
    <row r="89" spans="1:29" s="118" customFormat="1" ht="32.25" customHeight="1" hidden="1">
      <c r="A89" s="35"/>
      <c r="B89" s="35"/>
      <c r="C89" s="114">
        <v>6298</v>
      </c>
      <c r="D89" s="50" t="s">
        <v>553</v>
      </c>
      <c r="E89" s="10" t="s">
        <v>76</v>
      </c>
      <c r="F89" s="120"/>
      <c r="G89" s="545"/>
      <c r="H89" s="545"/>
      <c r="I89" s="545"/>
      <c r="J89" s="545"/>
      <c r="K89" s="545"/>
      <c r="L89" s="545"/>
      <c r="M89" s="545"/>
      <c r="N89" s="538">
        <f t="shared" si="50"/>
        <v>0</v>
      </c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16">
        <f>SUM(O89:Z89)</f>
        <v>0</v>
      </c>
      <c r="AB89" s="8" t="e">
        <f t="shared" si="44"/>
        <v>#DIV/0!</v>
      </c>
      <c r="AC89" s="116"/>
    </row>
    <row r="90" spans="1:29" s="118" customFormat="1" ht="40.5" customHeight="1" hidden="1">
      <c r="A90" s="35"/>
      <c r="B90" s="35"/>
      <c r="C90" s="114">
        <v>6339</v>
      </c>
      <c r="D90" s="50" t="s">
        <v>554</v>
      </c>
      <c r="E90" s="10" t="s">
        <v>77</v>
      </c>
      <c r="F90" s="120"/>
      <c r="G90" s="545"/>
      <c r="H90" s="545"/>
      <c r="I90" s="545"/>
      <c r="J90" s="545"/>
      <c r="K90" s="545"/>
      <c r="L90" s="545"/>
      <c r="M90" s="545"/>
      <c r="N90" s="538">
        <f t="shared" si="50"/>
        <v>0</v>
      </c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16">
        <f>SUM(O90:Z90)</f>
        <v>0</v>
      </c>
      <c r="AB90" s="8" t="e">
        <f>AA90*100/N90</f>
        <v>#DIV/0!</v>
      </c>
      <c r="AC90" s="116"/>
    </row>
    <row r="91" spans="1:29" s="118" customFormat="1" ht="12.75" customHeight="1" hidden="1">
      <c r="A91" s="35"/>
      <c r="B91" s="439">
        <v>80113</v>
      </c>
      <c r="C91" s="439"/>
      <c r="D91" s="440" t="s">
        <v>555</v>
      </c>
      <c r="E91" s="543"/>
      <c r="F91" s="402">
        <f aca="true" t="shared" si="55" ref="F91:Z91">F92</f>
        <v>0</v>
      </c>
      <c r="G91" s="442">
        <f t="shared" si="55"/>
        <v>0</v>
      </c>
      <c r="H91" s="442">
        <f t="shared" si="55"/>
        <v>0</v>
      </c>
      <c r="I91" s="442">
        <f t="shared" si="55"/>
        <v>0</v>
      </c>
      <c r="J91" s="442">
        <f t="shared" si="55"/>
        <v>0</v>
      </c>
      <c r="K91" s="442">
        <f t="shared" si="55"/>
        <v>0</v>
      </c>
      <c r="L91" s="442">
        <f t="shared" si="55"/>
        <v>0</v>
      </c>
      <c r="M91" s="442">
        <f t="shared" si="55"/>
        <v>0</v>
      </c>
      <c r="N91" s="544">
        <f t="shared" si="55"/>
        <v>0</v>
      </c>
      <c r="O91" s="402">
        <f t="shared" si="55"/>
        <v>0</v>
      </c>
      <c r="P91" s="402">
        <f t="shared" si="55"/>
        <v>0</v>
      </c>
      <c r="Q91" s="402">
        <f t="shared" si="55"/>
        <v>0</v>
      </c>
      <c r="R91" s="402">
        <f t="shared" si="55"/>
        <v>0</v>
      </c>
      <c r="S91" s="402">
        <f t="shared" si="55"/>
        <v>0</v>
      </c>
      <c r="T91" s="402">
        <f t="shared" si="55"/>
        <v>0</v>
      </c>
      <c r="U91" s="402">
        <f t="shared" si="55"/>
        <v>0</v>
      </c>
      <c r="V91" s="402">
        <f t="shared" si="55"/>
        <v>0</v>
      </c>
      <c r="W91" s="402">
        <f t="shared" si="55"/>
        <v>0</v>
      </c>
      <c r="X91" s="402">
        <f t="shared" si="55"/>
        <v>0</v>
      </c>
      <c r="Y91" s="402">
        <f t="shared" si="55"/>
        <v>0</v>
      </c>
      <c r="Z91" s="402">
        <f t="shared" si="55"/>
        <v>0</v>
      </c>
      <c r="AA91" s="402">
        <f>AA92</f>
        <v>0</v>
      </c>
      <c r="AB91" s="8" t="e">
        <f t="shared" si="44"/>
        <v>#DIV/0!</v>
      </c>
      <c r="AC91" s="402"/>
    </row>
    <row r="92" spans="1:29" s="118" customFormat="1" ht="12.75" customHeight="1" hidden="1">
      <c r="A92" s="35"/>
      <c r="B92" s="35"/>
      <c r="C92" s="128" t="s">
        <v>159</v>
      </c>
      <c r="D92" s="129" t="s">
        <v>160</v>
      </c>
      <c r="E92" s="4"/>
      <c r="F92" s="120"/>
      <c r="G92" s="545"/>
      <c r="H92" s="545"/>
      <c r="I92" s="545"/>
      <c r="J92" s="545"/>
      <c r="K92" s="545"/>
      <c r="L92" s="545"/>
      <c r="M92" s="545"/>
      <c r="N92" s="538">
        <f>F92+G92+H92+I92+J92+K92+L92</f>
        <v>0</v>
      </c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16">
        <f>SUM(O92:Z92)</f>
        <v>0</v>
      </c>
      <c r="AB92" s="8" t="e">
        <f t="shared" si="44"/>
        <v>#DIV/0!</v>
      </c>
      <c r="AC92" s="116"/>
    </row>
    <row r="93" spans="1:29" s="118" customFormat="1" ht="25.5">
      <c r="A93" s="35"/>
      <c r="B93" s="439">
        <v>80114</v>
      </c>
      <c r="C93" s="439"/>
      <c r="D93" s="440" t="s">
        <v>556</v>
      </c>
      <c r="E93" s="543"/>
      <c r="F93" s="402">
        <f>F94+F95</f>
        <v>500</v>
      </c>
      <c r="G93" s="442">
        <f>G94+G95</f>
        <v>0</v>
      </c>
      <c r="H93" s="442">
        <f aca="true" t="shared" si="56" ref="H93:M93">H94+H95</f>
        <v>0</v>
      </c>
      <c r="I93" s="442">
        <f t="shared" si="56"/>
        <v>0</v>
      </c>
      <c r="J93" s="442">
        <f t="shared" si="56"/>
        <v>0</v>
      </c>
      <c r="K93" s="442">
        <f t="shared" si="56"/>
        <v>0</v>
      </c>
      <c r="L93" s="442">
        <f t="shared" si="56"/>
        <v>0</v>
      </c>
      <c r="M93" s="442">
        <f t="shared" si="56"/>
        <v>0</v>
      </c>
      <c r="N93" s="544">
        <f>F93+G93+H93+I93+J93+K93+L93</f>
        <v>500</v>
      </c>
      <c r="O93" s="402">
        <f>O94+O95</f>
        <v>0</v>
      </c>
      <c r="P93" s="402">
        <f aca="true" t="shared" si="57" ref="P93:Z93">P94+P95</f>
        <v>0</v>
      </c>
      <c r="Q93" s="402">
        <f t="shared" si="57"/>
        <v>68.87</v>
      </c>
      <c r="R93" s="402">
        <f t="shared" si="57"/>
        <v>0</v>
      </c>
      <c r="S93" s="402">
        <f t="shared" si="57"/>
        <v>0</v>
      </c>
      <c r="T93" s="402">
        <f t="shared" si="57"/>
        <v>168.69</v>
      </c>
      <c r="U93" s="402">
        <f t="shared" si="57"/>
        <v>0</v>
      </c>
      <c r="V93" s="402">
        <f t="shared" si="57"/>
        <v>0</v>
      </c>
      <c r="W93" s="402">
        <f t="shared" si="57"/>
        <v>0</v>
      </c>
      <c r="X93" s="402">
        <f t="shared" si="57"/>
        <v>0</v>
      </c>
      <c r="Y93" s="402">
        <f t="shared" si="57"/>
        <v>0</v>
      </c>
      <c r="Z93" s="402">
        <f t="shared" si="57"/>
        <v>0</v>
      </c>
      <c r="AA93" s="402">
        <f>AA94+AA95</f>
        <v>237.56</v>
      </c>
      <c r="AB93" s="119">
        <f t="shared" si="44"/>
        <v>47.512</v>
      </c>
      <c r="AC93" s="402"/>
    </row>
    <row r="94" spans="1:29" s="118" customFormat="1" ht="22.5">
      <c r="A94" s="35"/>
      <c r="B94" s="35"/>
      <c r="C94" s="114" t="s">
        <v>184</v>
      </c>
      <c r="D94" s="50" t="s">
        <v>185</v>
      </c>
      <c r="E94" s="4" t="s">
        <v>78</v>
      </c>
      <c r="F94" s="120">
        <v>500</v>
      </c>
      <c r="G94" s="545"/>
      <c r="H94" s="545"/>
      <c r="I94" s="545"/>
      <c r="J94" s="545"/>
      <c r="K94" s="545"/>
      <c r="L94" s="545"/>
      <c r="M94" s="545"/>
      <c r="N94" s="538">
        <f>F94+G94+H94+I94+J94+K94+L94+M94</f>
        <v>500</v>
      </c>
      <c r="O94" s="120"/>
      <c r="P94" s="120"/>
      <c r="Q94" s="120">
        <v>68.87</v>
      </c>
      <c r="R94" s="120"/>
      <c r="S94" s="120"/>
      <c r="T94" s="120">
        <v>168.69</v>
      </c>
      <c r="U94" s="120"/>
      <c r="V94" s="120"/>
      <c r="W94" s="120"/>
      <c r="X94" s="120"/>
      <c r="Y94" s="120"/>
      <c r="Z94" s="120"/>
      <c r="AA94" s="116">
        <f>SUM(O94:Z94)</f>
        <v>237.56</v>
      </c>
      <c r="AB94" s="8">
        <f t="shared" si="44"/>
        <v>47.512</v>
      </c>
      <c r="AC94" s="4" t="s">
        <v>78</v>
      </c>
    </row>
    <row r="95" spans="1:29" s="118" customFormat="1" ht="22.5" customHeight="1" hidden="1">
      <c r="A95" s="35"/>
      <c r="B95" s="35"/>
      <c r="C95" s="128" t="s">
        <v>159</v>
      </c>
      <c r="D95" s="129" t="s">
        <v>160</v>
      </c>
      <c r="E95" s="4" t="s">
        <v>79</v>
      </c>
      <c r="F95" s="120"/>
      <c r="G95" s="545"/>
      <c r="H95" s="545"/>
      <c r="I95" s="545"/>
      <c r="J95" s="545"/>
      <c r="K95" s="545"/>
      <c r="L95" s="545"/>
      <c r="M95" s="545"/>
      <c r="N95" s="538">
        <f>F95+G95+H95+I95+J95+K95+L95+M95</f>
        <v>0</v>
      </c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16">
        <f>SUM(O95:Z95)</f>
        <v>0</v>
      </c>
      <c r="AB95" s="8" t="e">
        <f t="shared" si="44"/>
        <v>#DIV/0!</v>
      </c>
      <c r="AC95" s="116"/>
    </row>
    <row r="96" spans="1:29" s="118" customFormat="1" ht="18" customHeight="1">
      <c r="A96" s="35"/>
      <c r="B96" s="35">
        <v>80195</v>
      </c>
      <c r="C96" s="114"/>
      <c r="D96" s="126" t="s">
        <v>162</v>
      </c>
      <c r="E96" s="4"/>
      <c r="F96" s="402">
        <f>F97</f>
        <v>17883</v>
      </c>
      <c r="G96" s="442">
        <f>G97</f>
        <v>0</v>
      </c>
      <c r="H96" s="442">
        <f aca="true" t="shared" si="58" ref="H96:M96">H97</f>
        <v>0</v>
      </c>
      <c r="I96" s="442">
        <f t="shared" si="58"/>
        <v>42298</v>
      </c>
      <c r="J96" s="442">
        <f t="shared" si="58"/>
        <v>0</v>
      </c>
      <c r="K96" s="442">
        <f t="shared" si="58"/>
        <v>0</v>
      </c>
      <c r="L96" s="442">
        <f t="shared" si="58"/>
        <v>0</v>
      </c>
      <c r="M96" s="442">
        <f t="shared" si="58"/>
        <v>0</v>
      </c>
      <c r="N96" s="534">
        <f>N97</f>
        <v>60181</v>
      </c>
      <c r="O96" s="402">
        <f>O97</f>
        <v>5961</v>
      </c>
      <c r="P96" s="402">
        <f aca="true" t="shared" si="59" ref="P96:Z96">P97</f>
        <v>0</v>
      </c>
      <c r="Q96" s="402">
        <f t="shared" si="59"/>
        <v>0</v>
      </c>
      <c r="R96" s="402">
        <f t="shared" si="59"/>
        <v>0</v>
      </c>
      <c r="S96" s="402">
        <f t="shared" si="59"/>
        <v>0</v>
      </c>
      <c r="T96" s="402">
        <f t="shared" si="59"/>
        <v>54220</v>
      </c>
      <c r="U96" s="402">
        <f t="shared" si="59"/>
        <v>0</v>
      </c>
      <c r="V96" s="402">
        <f t="shared" si="59"/>
        <v>0</v>
      </c>
      <c r="W96" s="402">
        <f t="shared" si="59"/>
        <v>0</v>
      </c>
      <c r="X96" s="402">
        <f t="shared" si="59"/>
        <v>0</v>
      </c>
      <c r="Y96" s="402">
        <f t="shared" si="59"/>
        <v>0</v>
      </c>
      <c r="Z96" s="402">
        <f t="shared" si="59"/>
        <v>0</v>
      </c>
      <c r="AA96" s="509">
        <f>AA97</f>
        <v>60181</v>
      </c>
      <c r="AB96" s="119">
        <f t="shared" si="44"/>
        <v>100</v>
      </c>
      <c r="AC96" s="509"/>
    </row>
    <row r="97" spans="1:29" s="118" customFormat="1" ht="112.5">
      <c r="A97" s="35"/>
      <c r="B97" s="35"/>
      <c r="C97" s="128">
        <v>2030</v>
      </c>
      <c r="D97" s="129" t="s">
        <v>548</v>
      </c>
      <c r="E97" s="4" t="s">
        <v>850</v>
      </c>
      <c r="F97" s="120">
        <v>17883</v>
      </c>
      <c r="G97" s="545"/>
      <c r="H97" s="545"/>
      <c r="I97" s="545">
        <v>42298</v>
      </c>
      <c r="J97" s="545"/>
      <c r="K97" s="545"/>
      <c r="L97" s="545"/>
      <c r="M97" s="545"/>
      <c r="N97" s="538">
        <f>F97+G97+H97+I97+J97+K97+L97+M97</f>
        <v>60181</v>
      </c>
      <c r="O97" s="120">
        <v>5961</v>
      </c>
      <c r="P97" s="120"/>
      <c r="Q97" s="120"/>
      <c r="R97" s="120"/>
      <c r="S97" s="120"/>
      <c r="T97" s="120">
        <v>54220</v>
      </c>
      <c r="U97" s="120"/>
      <c r="V97" s="120"/>
      <c r="W97" s="120"/>
      <c r="X97" s="120"/>
      <c r="Y97" s="120"/>
      <c r="Z97" s="120"/>
      <c r="AA97" s="116">
        <f>SUM(O97:Z97)</f>
        <v>60181</v>
      </c>
      <c r="AB97" s="8">
        <f t="shared" si="44"/>
        <v>100</v>
      </c>
      <c r="AC97" s="4" t="s">
        <v>90</v>
      </c>
    </row>
    <row r="98" spans="1:29" s="118" customFormat="1" ht="16.5" customHeight="1">
      <c r="A98" s="444">
        <v>852</v>
      </c>
      <c r="B98" s="444"/>
      <c r="C98" s="444"/>
      <c r="D98" s="445" t="s">
        <v>353</v>
      </c>
      <c r="E98" s="3"/>
      <c r="F98" s="441">
        <f>F102+F104+F107+F99+F110</f>
        <v>1956200</v>
      </c>
      <c r="G98" s="547">
        <f>G102+G104+G107+G99+G110</f>
        <v>-45300</v>
      </c>
      <c r="H98" s="542">
        <f aca="true" t="shared" si="60" ref="H98:M98">H102+H104+H107+H99+H110</f>
        <v>3900</v>
      </c>
      <c r="I98" s="542">
        <f t="shared" si="60"/>
        <v>11510</v>
      </c>
      <c r="J98" s="542">
        <f t="shared" si="60"/>
        <v>0</v>
      </c>
      <c r="K98" s="542">
        <f t="shared" si="60"/>
        <v>0</v>
      </c>
      <c r="L98" s="542">
        <f t="shared" si="60"/>
        <v>0</v>
      </c>
      <c r="M98" s="542">
        <f t="shared" si="60"/>
        <v>0</v>
      </c>
      <c r="N98" s="441">
        <f>N102+N104+N107+N99+N110</f>
        <v>1926310</v>
      </c>
      <c r="O98" s="441">
        <f>O102+O104+O107+O99+O110</f>
        <v>166532</v>
      </c>
      <c r="P98" s="441">
        <f aca="true" t="shared" si="61" ref="P98:Z98">P102+P104+P107+P99+P110</f>
        <v>169304.52</v>
      </c>
      <c r="Q98" s="441">
        <f t="shared" si="61"/>
        <v>166804.03</v>
      </c>
      <c r="R98" s="441">
        <f t="shared" si="61"/>
        <v>161977.89</v>
      </c>
      <c r="S98" s="441">
        <f>S102+S104+S107+S99+S110</f>
        <v>160299.34</v>
      </c>
      <c r="T98" s="441">
        <f t="shared" si="61"/>
        <v>162135.44</v>
      </c>
      <c r="U98" s="441">
        <f t="shared" si="61"/>
        <v>0</v>
      </c>
      <c r="V98" s="441">
        <f t="shared" si="61"/>
        <v>0</v>
      </c>
      <c r="W98" s="441">
        <f t="shared" si="61"/>
        <v>0</v>
      </c>
      <c r="X98" s="441">
        <f t="shared" si="61"/>
        <v>0</v>
      </c>
      <c r="Y98" s="441">
        <f t="shared" si="61"/>
        <v>0</v>
      </c>
      <c r="Z98" s="441">
        <f t="shared" si="61"/>
        <v>0</v>
      </c>
      <c r="AA98" s="441">
        <f>AA102+AA104+AA107+AA99+AA110</f>
        <v>987053.22</v>
      </c>
      <c r="AB98" s="113">
        <f t="shared" si="44"/>
        <v>51.24062170678655</v>
      </c>
      <c r="AC98" s="441"/>
    </row>
    <row r="99" spans="1:29" s="123" customFormat="1" ht="51">
      <c r="A99" s="121"/>
      <c r="B99" s="439">
        <v>85212</v>
      </c>
      <c r="C99" s="439"/>
      <c r="D99" s="440" t="s">
        <v>354</v>
      </c>
      <c r="E99" s="11"/>
      <c r="F99" s="443">
        <f>SUM(F100:F101)</f>
        <v>1814200</v>
      </c>
      <c r="G99" s="548">
        <f>SUM(G100:G101)</f>
        <v>-41100</v>
      </c>
      <c r="H99" s="546">
        <f aca="true" t="shared" si="62" ref="H99:M99">SUM(H100:H101)</f>
        <v>3000</v>
      </c>
      <c r="I99" s="546">
        <f t="shared" si="62"/>
        <v>1000</v>
      </c>
      <c r="J99" s="546">
        <f t="shared" si="62"/>
        <v>0</v>
      </c>
      <c r="K99" s="546">
        <f t="shared" si="62"/>
        <v>0</v>
      </c>
      <c r="L99" s="546">
        <f t="shared" si="62"/>
        <v>0</v>
      </c>
      <c r="M99" s="546">
        <f t="shared" si="62"/>
        <v>0</v>
      </c>
      <c r="N99" s="544">
        <f>N100+N101</f>
        <v>1777100</v>
      </c>
      <c r="O99" s="443">
        <f>SUM(O100:O101)</f>
        <v>151016</v>
      </c>
      <c r="P99" s="443">
        <f aca="true" t="shared" si="63" ref="P99:Z99">SUM(P100:P101)</f>
        <v>151063.52</v>
      </c>
      <c r="Q99" s="443">
        <f t="shared" si="63"/>
        <v>151784</v>
      </c>
      <c r="R99" s="443">
        <f t="shared" si="63"/>
        <v>147453.89</v>
      </c>
      <c r="S99" s="443">
        <f t="shared" si="63"/>
        <v>147893.34</v>
      </c>
      <c r="T99" s="443">
        <f t="shared" si="63"/>
        <v>147204.48</v>
      </c>
      <c r="U99" s="443">
        <f t="shared" si="63"/>
        <v>0</v>
      </c>
      <c r="V99" s="443">
        <f t="shared" si="63"/>
        <v>0</v>
      </c>
      <c r="W99" s="443">
        <f t="shared" si="63"/>
        <v>0</v>
      </c>
      <c r="X99" s="443">
        <f t="shared" si="63"/>
        <v>0</v>
      </c>
      <c r="Y99" s="443">
        <f t="shared" si="63"/>
        <v>0</v>
      </c>
      <c r="Z99" s="443">
        <f t="shared" si="63"/>
        <v>0</v>
      </c>
      <c r="AA99" s="443">
        <f>AA100+AA101</f>
        <v>896415.23</v>
      </c>
      <c r="AB99" s="119">
        <f t="shared" si="44"/>
        <v>50.44258792414608</v>
      </c>
      <c r="AC99" s="443"/>
    </row>
    <row r="100" spans="1:29" s="123" customFormat="1" ht="96" customHeight="1">
      <c r="A100" s="121"/>
      <c r="B100" s="439"/>
      <c r="C100" s="49">
        <v>2010</v>
      </c>
      <c r="D100" s="50" t="s">
        <v>165</v>
      </c>
      <c r="E100" s="4" t="s">
        <v>850</v>
      </c>
      <c r="F100" s="124">
        <v>1812200</v>
      </c>
      <c r="G100" s="549">
        <v>-41100</v>
      </c>
      <c r="H100" s="449"/>
      <c r="I100" s="449"/>
      <c r="J100" s="449"/>
      <c r="K100" s="449"/>
      <c r="L100" s="449"/>
      <c r="M100" s="449"/>
      <c r="N100" s="538">
        <f aca="true" t="shared" si="64" ref="N100:N106">F100+G100+H100+I100+J100+K100+L100+M100</f>
        <v>1771100</v>
      </c>
      <c r="O100" s="124">
        <v>151016</v>
      </c>
      <c r="P100" s="124">
        <v>151000</v>
      </c>
      <c r="Q100" s="124">
        <v>147500</v>
      </c>
      <c r="R100" s="124">
        <v>147000</v>
      </c>
      <c r="S100" s="124">
        <v>147591</v>
      </c>
      <c r="T100" s="124">
        <v>147001</v>
      </c>
      <c r="U100" s="124"/>
      <c r="V100" s="124"/>
      <c r="W100" s="124"/>
      <c r="X100" s="124"/>
      <c r="Y100" s="124"/>
      <c r="Z100" s="124"/>
      <c r="AA100" s="116">
        <f>SUM(O100:Z100)</f>
        <v>891108</v>
      </c>
      <c r="AB100" s="8">
        <f t="shared" si="44"/>
        <v>50.3138162723731</v>
      </c>
      <c r="AC100" s="4" t="s">
        <v>92</v>
      </c>
    </row>
    <row r="101" spans="1:29" s="123" customFormat="1" ht="63.75">
      <c r="A101" s="121"/>
      <c r="B101" s="439"/>
      <c r="C101" s="49">
        <v>2360</v>
      </c>
      <c r="D101" s="50" t="s">
        <v>355</v>
      </c>
      <c r="E101" s="4" t="s">
        <v>80</v>
      </c>
      <c r="F101" s="124">
        <v>2000</v>
      </c>
      <c r="G101" s="449"/>
      <c r="H101" s="449">
        <v>3000</v>
      </c>
      <c r="I101" s="449">
        <v>1000</v>
      </c>
      <c r="J101" s="449"/>
      <c r="K101" s="449"/>
      <c r="L101" s="449"/>
      <c r="M101" s="449"/>
      <c r="N101" s="538">
        <f t="shared" si="64"/>
        <v>6000</v>
      </c>
      <c r="O101" s="124"/>
      <c r="P101" s="124">
        <v>63.52</v>
      </c>
      <c r="Q101" s="124">
        <v>4284</v>
      </c>
      <c r="R101" s="124">
        <v>453.89</v>
      </c>
      <c r="S101" s="124">
        <v>302.34</v>
      </c>
      <c r="T101" s="124">
        <v>203.48</v>
      </c>
      <c r="U101" s="124"/>
      <c r="V101" s="124"/>
      <c r="W101" s="124"/>
      <c r="X101" s="124"/>
      <c r="Y101" s="124"/>
      <c r="Z101" s="124"/>
      <c r="AA101" s="116">
        <f>SUM(O101:Z101)</f>
        <v>5307.2300000000005</v>
      </c>
      <c r="AB101" s="8">
        <f>AA101*100/N101</f>
        <v>88.45383333333334</v>
      </c>
      <c r="AC101" s="4" t="s">
        <v>80</v>
      </c>
    </row>
    <row r="102" spans="1:29" s="123" customFormat="1" ht="63.75">
      <c r="A102" s="121"/>
      <c r="B102" s="439">
        <v>85213</v>
      </c>
      <c r="C102" s="439"/>
      <c r="D102" s="440" t="s">
        <v>562</v>
      </c>
      <c r="E102" s="11"/>
      <c r="F102" s="443">
        <f aca="true" t="shared" si="65" ref="F102:Z102">F103</f>
        <v>11200</v>
      </c>
      <c r="G102" s="546">
        <f t="shared" si="65"/>
        <v>0</v>
      </c>
      <c r="H102" s="546">
        <f t="shared" si="65"/>
        <v>0</v>
      </c>
      <c r="I102" s="546">
        <f t="shared" si="65"/>
        <v>0</v>
      </c>
      <c r="J102" s="546">
        <f t="shared" si="65"/>
        <v>0</v>
      </c>
      <c r="K102" s="546">
        <f t="shared" si="65"/>
        <v>0</v>
      </c>
      <c r="L102" s="546">
        <f t="shared" si="65"/>
        <v>0</v>
      </c>
      <c r="M102" s="546">
        <f t="shared" si="65"/>
        <v>0</v>
      </c>
      <c r="N102" s="544">
        <f t="shared" si="65"/>
        <v>11200</v>
      </c>
      <c r="O102" s="443">
        <f t="shared" si="65"/>
        <v>933</v>
      </c>
      <c r="P102" s="443">
        <f t="shared" si="65"/>
        <v>933</v>
      </c>
      <c r="Q102" s="443">
        <f t="shared" si="65"/>
        <v>933</v>
      </c>
      <c r="R102" s="443">
        <f t="shared" si="65"/>
        <v>933</v>
      </c>
      <c r="S102" s="443">
        <f t="shared" si="65"/>
        <v>933</v>
      </c>
      <c r="T102" s="443">
        <f t="shared" si="65"/>
        <v>933</v>
      </c>
      <c r="U102" s="443">
        <f t="shared" si="65"/>
        <v>0</v>
      </c>
      <c r="V102" s="443">
        <f t="shared" si="65"/>
        <v>0</v>
      </c>
      <c r="W102" s="443">
        <f t="shared" si="65"/>
        <v>0</v>
      </c>
      <c r="X102" s="443">
        <f t="shared" si="65"/>
        <v>0</v>
      </c>
      <c r="Y102" s="443">
        <f t="shared" si="65"/>
        <v>0</v>
      </c>
      <c r="Z102" s="443">
        <f t="shared" si="65"/>
        <v>0</v>
      </c>
      <c r="AA102" s="443">
        <f>AA103</f>
        <v>5598</v>
      </c>
      <c r="AB102" s="119">
        <f t="shared" si="44"/>
        <v>49.982142857142854</v>
      </c>
      <c r="AC102" s="443"/>
    </row>
    <row r="103" spans="1:29" s="123" customFormat="1" ht="67.5">
      <c r="A103" s="121"/>
      <c r="B103" s="121"/>
      <c r="C103" s="49">
        <v>2010</v>
      </c>
      <c r="D103" s="50" t="s">
        <v>165</v>
      </c>
      <c r="E103" s="4" t="s">
        <v>850</v>
      </c>
      <c r="F103" s="124">
        <v>11200</v>
      </c>
      <c r="G103" s="449"/>
      <c r="H103" s="449"/>
      <c r="I103" s="449"/>
      <c r="J103" s="449"/>
      <c r="K103" s="449"/>
      <c r="L103" s="449"/>
      <c r="M103" s="449"/>
      <c r="N103" s="538">
        <f t="shared" si="64"/>
        <v>11200</v>
      </c>
      <c r="O103" s="124">
        <v>933</v>
      </c>
      <c r="P103" s="124">
        <v>933</v>
      </c>
      <c r="Q103" s="124">
        <v>933</v>
      </c>
      <c r="R103" s="124">
        <v>933</v>
      </c>
      <c r="S103" s="124">
        <v>933</v>
      </c>
      <c r="T103" s="124">
        <v>933</v>
      </c>
      <c r="U103" s="124"/>
      <c r="V103" s="124"/>
      <c r="W103" s="124"/>
      <c r="X103" s="124"/>
      <c r="Y103" s="124"/>
      <c r="Z103" s="124"/>
      <c r="AA103" s="116">
        <f>SUM(O103:Z103)</f>
        <v>5598</v>
      </c>
      <c r="AB103" s="8">
        <f t="shared" si="44"/>
        <v>49.982142857142854</v>
      </c>
      <c r="AC103" s="4" t="s">
        <v>93</v>
      </c>
    </row>
    <row r="104" spans="1:29" s="118" customFormat="1" ht="38.25">
      <c r="A104" s="439"/>
      <c r="B104" s="439">
        <v>85214</v>
      </c>
      <c r="C104" s="439"/>
      <c r="D104" s="440" t="s">
        <v>563</v>
      </c>
      <c r="E104" s="543"/>
      <c r="F104" s="402">
        <f>F105+F106</f>
        <v>74800</v>
      </c>
      <c r="G104" s="552">
        <f>G105+G106</f>
        <v>-4200</v>
      </c>
      <c r="H104" s="442">
        <f aca="true" t="shared" si="66" ref="H104:M104">H105+H106</f>
        <v>0</v>
      </c>
      <c r="I104" s="442">
        <f t="shared" si="66"/>
        <v>0</v>
      </c>
      <c r="J104" s="442">
        <f t="shared" si="66"/>
        <v>0</v>
      </c>
      <c r="K104" s="442">
        <f t="shared" si="66"/>
        <v>0</v>
      </c>
      <c r="L104" s="442">
        <f t="shared" si="66"/>
        <v>0</v>
      </c>
      <c r="M104" s="442">
        <f t="shared" si="66"/>
        <v>0</v>
      </c>
      <c r="N104" s="544">
        <f>N105+N106</f>
        <v>70600</v>
      </c>
      <c r="O104" s="402">
        <f>O105+O106</f>
        <v>6233</v>
      </c>
      <c r="P104" s="402">
        <f aca="true" t="shared" si="67" ref="P104:Z104">P105+P106</f>
        <v>6743</v>
      </c>
      <c r="Q104" s="402">
        <f t="shared" si="67"/>
        <v>5763</v>
      </c>
      <c r="R104" s="402">
        <f t="shared" si="67"/>
        <v>5762</v>
      </c>
      <c r="S104" s="402">
        <f t="shared" si="67"/>
        <v>5764</v>
      </c>
      <c r="T104" s="402">
        <f t="shared" si="67"/>
        <v>3714</v>
      </c>
      <c r="U104" s="402">
        <f t="shared" si="67"/>
        <v>0</v>
      </c>
      <c r="V104" s="402">
        <f t="shared" si="67"/>
        <v>0</v>
      </c>
      <c r="W104" s="402">
        <f t="shared" si="67"/>
        <v>0</v>
      </c>
      <c r="X104" s="402">
        <f t="shared" si="67"/>
        <v>0</v>
      </c>
      <c r="Y104" s="402">
        <f t="shared" si="67"/>
        <v>0</v>
      </c>
      <c r="Z104" s="402">
        <f t="shared" si="67"/>
        <v>0</v>
      </c>
      <c r="AA104" s="402">
        <f>AA105+AA106</f>
        <v>33979</v>
      </c>
      <c r="AB104" s="119">
        <f t="shared" si="44"/>
        <v>48.12889518413598</v>
      </c>
      <c r="AC104" s="402"/>
    </row>
    <row r="105" spans="1:29" s="118" customFormat="1" ht="78.75">
      <c r="A105" s="439"/>
      <c r="B105" s="49"/>
      <c r="C105" s="49">
        <v>2010</v>
      </c>
      <c r="D105" s="50" t="s">
        <v>165</v>
      </c>
      <c r="E105" s="795" t="s">
        <v>850</v>
      </c>
      <c r="F105" s="120">
        <v>33900</v>
      </c>
      <c r="G105" s="545">
        <v>3000</v>
      </c>
      <c r="H105" s="545"/>
      <c r="I105" s="545"/>
      <c r="J105" s="545"/>
      <c r="K105" s="545"/>
      <c r="L105" s="545"/>
      <c r="M105" s="545"/>
      <c r="N105" s="538">
        <f t="shared" si="64"/>
        <v>36900</v>
      </c>
      <c r="O105" s="120">
        <v>2825</v>
      </c>
      <c r="P105" s="120">
        <v>3335</v>
      </c>
      <c r="Q105" s="120">
        <v>3075</v>
      </c>
      <c r="R105" s="120">
        <v>3074</v>
      </c>
      <c r="S105" s="120">
        <v>3075</v>
      </c>
      <c r="T105" s="120">
        <v>3075</v>
      </c>
      <c r="U105" s="120"/>
      <c r="V105" s="120"/>
      <c r="W105" s="120"/>
      <c r="X105" s="120"/>
      <c r="Y105" s="120"/>
      <c r="Z105" s="120"/>
      <c r="AA105" s="116">
        <f>SUM(O105:Z105)</f>
        <v>18459</v>
      </c>
      <c r="AB105" s="8">
        <f t="shared" si="44"/>
        <v>50.02439024390244</v>
      </c>
      <c r="AC105" s="4" t="s">
        <v>94</v>
      </c>
    </row>
    <row r="106" spans="1:29" s="118" customFormat="1" ht="78.75">
      <c r="A106" s="439"/>
      <c r="B106" s="49"/>
      <c r="C106" s="128">
        <v>2030</v>
      </c>
      <c r="D106" s="129" t="s">
        <v>548</v>
      </c>
      <c r="E106" s="796"/>
      <c r="F106" s="120">
        <v>40900</v>
      </c>
      <c r="G106" s="550">
        <v>-7200</v>
      </c>
      <c r="H106" s="545"/>
      <c r="I106" s="545"/>
      <c r="J106" s="545"/>
      <c r="K106" s="545"/>
      <c r="L106" s="545"/>
      <c r="M106" s="545"/>
      <c r="N106" s="538">
        <f t="shared" si="64"/>
        <v>33700</v>
      </c>
      <c r="O106" s="120">
        <v>3408</v>
      </c>
      <c r="P106" s="120">
        <v>3408</v>
      </c>
      <c r="Q106" s="120">
        <v>2688</v>
      </c>
      <c r="R106" s="120">
        <v>2688</v>
      </c>
      <c r="S106" s="120">
        <v>2689</v>
      </c>
      <c r="T106" s="120">
        <v>639</v>
      </c>
      <c r="U106" s="120"/>
      <c r="V106" s="120"/>
      <c r="W106" s="120"/>
      <c r="X106" s="120"/>
      <c r="Y106" s="120"/>
      <c r="Z106" s="120"/>
      <c r="AA106" s="116">
        <f>SUM(O106:Z106)</f>
        <v>15520</v>
      </c>
      <c r="AB106" s="8">
        <f>AA106*100/N106</f>
        <v>46.053412462908014</v>
      </c>
      <c r="AC106" s="4" t="s">
        <v>94</v>
      </c>
    </row>
    <row r="107" spans="1:29" s="118" customFormat="1" ht="18" customHeight="1">
      <c r="A107" s="439"/>
      <c r="B107" s="439">
        <v>85219</v>
      </c>
      <c r="C107" s="439"/>
      <c r="D107" s="440" t="s">
        <v>564</v>
      </c>
      <c r="E107" s="543"/>
      <c r="F107" s="402">
        <f>F108+F109</f>
        <v>34300</v>
      </c>
      <c r="G107" s="442">
        <f>G108+G109</f>
        <v>0</v>
      </c>
      <c r="H107" s="442">
        <f aca="true" t="shared" si="68" ref="H107:M107">H108+H109</f>
        <v>900</v>
      </c>
      <c r="I107" s="442">
        <f t="shared" si="68"/>
        <v>4350</v>
      </c>
      <c r="J107" s="442">
        <f t="shared" si="68"/>
        <v>0</v>
      </c>
      <c r="K107" s="442">
        <f t="shared" si="68"/>
        <v>0</v>
      </c>
      <c r="L107" s="442">
        <f t="shared" si="68"/>
        <v>0</v>
      </c>
      <c r="M107" s="442">
        <f t="shared" si="68"/>
        <v>0</v>
      </c>
      <c r="N107" s="544">
        <f>N108+N109</f>
        <v>39550</v>
      </c>
      <c r="O107" s="402">
        <f>O108+O109</f>
        <v>2850</v>
      </c>
      <c r="P107" s="402">
        <f aca="true" t="shared" si="69" ref="P107:Z107">P108+P109</f>
        <v>5065</v>
      </c>
      <c r="Q107" s="402">
        <f t="shared" si="69"/>
        <v>2824.03</v>
      </c>
      <c r="R107" s="402">
        <f t="shared" si="69"/>
        <v>2629</v>
      </c>
      <c r="S107" s="402">
        <f t="shared" si="69"/>
        <v>2629</v>
      </c>
      <c r="T107" s="402">
        <f t="shared" si="69"/>
        <v>7203.96</v>
      </c>
      <c r="U107" s="402">
        <f t="shared" si="69"/>
        <v>0</v>
      </c>
      <c r="V107" s="402">
        <f t="shared" si="69"/>
        <v>0</v>
      </c>
      <c r="W107" s="402">
        <f t="shared" si="69"/>
        <v>0</v>
      </c>
      <c r="X107" s="402">
        <f t="shared" si="69"/>
        <v>0</v>
      </c>
      <c r="Y107" s="402">
        <f t="shared" si="69"/>
        <v>0</v>
      </c>
      <c r="Z107" s="402">
        <f t="shared" si="69"/>
        <v>0</v>
      </c>
      <c r="AA107" s="402">
        <f>AA108+AA109</f>
        <v>23200.99</v>
      </c>
      <c r="AB107" s="130">
        <f t="shared" si="44"/>
        <v>58.662427307206066</v>
      </c>
      <c r="AC107" s="402"/>
    </row>
    <row r="108" spans="1:29" s="118" customFormat="1" ht="90">
      <c r="A108" s="439"/>
      <c r="B108" s="49"/>
      <c r="C108" s="128">
        <v>2030</v>
      </c>
      <c r="D108" s="129" t="s">
        <v>548</v>
      </c>
      <c r="E108" s="4" t="s">
        <v>850</v>
      </c>
      <c r="F108" s="120">
        <v>34200</v>
      </c>
      <c r="G108" s="545"/>
      <c r="H108" s="545"/>
      <c r="I108" s="545">
        <v>4350</v>
      </c>
      <c r="J108" s="545"/>
      <c r="K108" s="545"/>
      <c r="L108" s="545"/>
      <c r="M108" s="545"/>
      <c r="N108" s="538">
        <f>F108+G108+H108+I108+J108+K108+L108+M108</f>
        <v>38550</v>
      </c>
      <c r="O108" s="120">
        <v>2850</v>
      </c>
      <c r="P108" s="120">
        <v>5065</v>
      </c>
      <c r="Q108" s="120">
        <v>2629</v>
      </c>
      <c r="R108" s="120">
        <v>2629</v>
      </c>
      <c r="S108" s="120">
        <v>2629</v>
      </c>
      <c r="T108" s="120">
        <v>6979</v>
      </c>
      <c r="U108" s="120"/>
      <c r="V108" s="120"/>
      <c r="W108" s="120"/>
      <c r="X108" s="120"/>
      <c r="Y108" s="120"/>
      <c r="Z108" s="120"/>
      <c r="AA108" s="116">
        <f>SUM(O108:Z108)</f>
        <v>22781</v>
      </c>
      <c r="AB108" s="124">
        <f t="shared" si="44"/>
        <v>59.094682230869005</v>
      </c>
      <c r="AC108" s="4" t="s">
        <v>95</v>
      </c>
    </row>
    <row r="109" spans="1:29" s="127" customFormat="1" ht="30" customHeight="1">
      <c r="A109" s="439"/>
      <c r="B109" s="439"/>
      <c r="C109" s="114" t="s">
        <v>184</v>
      </c>
      <c r="D109" s="50" t="s">
        <v>185</v>
      </c>
      <c r="E109" s="4" t="s">
        <v>565</v>
      </c>
      <c r="F109" s="120">
        <v>100</v>
      </c>
      <c r="G109" s="545"/>
      <c r="H109" s="545">
        <v>900</v>
      </c>
      <c r="I109" s="545"/>
      <c r="J109" s="545"/>
      <c r="K109" s="545"/>
      <c r="L109" s="545"/>
      <c r="M109" s="545"/>
      <c r="N109" s="538">
        <f>F109+G109+H109+I109+J109+K109+L109+M109</f>
        <v>1000</v>
      </c>
      <c r="O109" s="120"/>
      <c r="P109" s="120"/>
      <c r="Q109" s="120">
        <v>195.03</v>
      </c>
      <c r="R109" s="120"/>
      <c r="S109" s="120"/>
      <c r="T109" s="120">
        <v>224.96</v>
      </c>
      <c r="U109" s="120"/>
      <c r="V109" s="120"/>
      <c r="W109" s="120"/>
      <c r="X109" s="120"/>
      <c r="Y109" s="120"/>
      <c r="Z109" s="120"/>
      <c r="AA109" s="116">
        <f>SUM(O109:Z109)</f>
        <v>419.99</v>
      </c>
      <c r="AB109" s="8">
        <f t="shared" si="44"/>
        <v>41.999</v>
      </c>
      <c r="AC109" s="9" t="s">
        <v>565</v>
      </c>
    </row>
    <row r="110" spans="1:29" s="554" customFormat="1" ht="16.5" customHeight="1">
      <c r="A110" s="553"/>
      <c r="B110" s="553">
        <v>85295</v>
      </c>
      <c r="C110" s="553"/>
      <c r="D110" s="126" t="s">
        <v>162</v>
      </c>
      <c r="E110" s="543"/>
      <c r="F110" s="402">
        <f aca="true" t="shared" si="70" ref="F110:Z110">F111</f>
        <v>21700</v>
      </c>
      <c r="G110" s="442">
        <f t="shared" si="70"/>
        <v>0</v>
      </c>
      <c r="H110" s="442">
        <f t="shared" si="70"/>
        <v>0</v>
      </c>
      <c r="I110" s="442">
        <f t="shared" si="70"/>
        <v>6160</v>
      </c>
      <c r="J110" s="442">
        <f t="shared" si="70"/>
        <v>0</v>
      </c>
      <c r="K110" s="442">
        <f t="shared" si="70"/>
        <v>0</v>
      </c>
      <c r="L110" s="442">
        <f t="shared" si="70"/>
        <v>0</v>
      </c>
      <c r="M110" s="442">
        <f t="shared" si="70"/>
        <v>0</v>
      </c>
      <c r="N110" s="534">
        <f t="shared" si="70"/>
        <v>27860</v>
      </c>
      <c r="O110" s="402">
        <f t="shared" si="70"/>
        <v>5500</v>
      </c>
      <c r="P110" s="402">
        <f t="shared" si="70"/>
        <v>5500</v>
      </c>
      <c r="Q110" s="402">
        <f t="shared" si="70"/>
        <v>5500</v>
      </c>
      <c r="R110" s="402">
        <f t="shared" si="70"/>
        <v>5200</v>
      </c>
      <c r="S110" s="402">
        <f t="shared" si="70"/>
        <v>3080</v>
      </c>
      <c r="T110" s="402">
        <f t="shared" si="70"/>
        <v>3080</v>
      </c>
      <c r="U110" s="402">
        <f t="shared" si="70"/>
        <v>0</v>
      </c>
      <c r="V110" s="402">
        <f t="shared" si="70"/>
        <v>0</v>
      </c>
      <c r="W110" s="402">
        <f t="shared" si="70"/>
        <v>0</v>
      </c>
      <c r="X110" s="402">
        <f t="shared" si="70"/>
        <v>0</v>
      </c>
      <c r="Y110" s="402">
        <f t="shared" si="70"/>
        <v>0</v>
      </c>
      <c r="Z110" s="402">
        <f t="shared" si="70"/>
        <v>0</v>
      </c>
      <c r="AA110" s="509">
        <f>AA111</f>
        <v>27860</v>
      </c>
      <c r="AB110" s="130">
        <f>AA110*100/N110</f>
        <v>100</v>
      </c>
      <c r="AC110" s="509"/>
    </row>
    <row r="111" spans="1:29" s="127" customFormat="1" ht="101.25">
      <c r="A111" s="439"/>
      <c r="B111" s="439"/>
      <c r="C111" s="128">
        <v>2030</v>
      </c>
      <c r="D111" s="129" t="s">
        <v>548</v>
      </c>
      <c r="E111" s="4" t="s">
        <v>850</v>
      </c>
      <c r="F111" s="120">
        <v>21700</v>
      </c>
      <c r="G111" s="545"/>
      <c r="H111" s="545"/>
      <c r="I111" s="545">
        <v>6160</v>
      </c>
      <c r="J111" s="545"/>
      <c r="K111" s="545"/>
      <c r="L111" s="545"/>
      <c r="M111" s="545"/>
      <c r="N111" s="538">
        <f>F111+G111+H111+I111+J111+K111+L111+M111</f>
        <v>27860</v>
      </c>
      <c r="O111" s="120">
        <v>5500</v>
      </c>
      <c r="P111" s="120">
        <v>5500</v>
      </c>
      <c r="Q111" s="120">
        <v>5500</v>
      </c>
      <c r="R111" s="120">
        <v>5200</v>
      </c>
      <c r="S111" s="120">
        <v>3080</v>
      </c>
      <c r="T111" s="120">
        <v>3080</v>
      </c>
      <c r="U111" s="120"/>
      <c r="V111" s="120"/>
      <c r="W111" s="120"/>
      <c r="X111" s="120"/>
      <c r="Y111" s="120"/>
      <c r="Z111" s="120"/>
      <c r="AA111" s="116">
        <f>SUM(O111:Z111)</f>
        <v>27860</v>
      </c>
      <c r="AB111" s="124">
        <f>AA111*100/N111</f>
        <v>100</v>
      </c>
      <c r="AC111" s="322" t="s">
        <v>1050</v>
      </c>
    </row>
    <row r="112" spans="1:29" s="118" customFormat="1" ht="12.75" customHeight="1">
      <c r="A112" s="444">
        <v>854</v>
      </c>
      <c r="B112" s="444"/>
      <c r="C112" s="444"/>
      <c r="D112" s="445" t="s">
        <v>566</v>
      </c>
      <c r="E112" s="3"/>
      <c r="F112" s="441">
        <f>F113</f>
        <v>0</v>
      </c>
      <c r="G112" s="542">
        <f>G113</f>
        <v>0</v>
      </c>
      <c r="H112" s="542">
        <f aca="true" t="shared" si="71" ref="H112:M112">H113</f>
        <v>0</v>
      </c>
      <c r="I112" s="542">
        <f t="shared" si="71"/>
        <v>21913</v>
      </c>
      <c r="J112" s="542">
        <f t="shared" si="71"/>
        <v>0</v>
      </c>
      <c r="K112" s="542">
        <f t="shared" si="71"/>
        <v>0</v>
      </c>
      <c r="L112" s="542">
        <f t="shared" si="71"/>
        <v>0</v>
      </c>
      <c r="M112" s="542">
        <f t="shared" si="71"/>
        <v>0</v>
      </c>
      <c r="N112" s="441">
        <f>N113</f>
        <v>21913</v>
      </c>
      <c r="O112" s="441">
        <f>O113</f>
        <v>0</v>
      </c>
      <c r="P112" s="441">
        <f aca="true" t="shared" si="72" ref="P112:Z112">P113</f>
        <v>0</v>
      </c>
      <c r="Q112" s="441">
        <f t="shared" si="72"/>
        <v>0</v>
      </c>
      <c r="R112" s="441">
        <f t="shared" si="72"/>
        <v>14608</v>
      </c>
      <c r="S112" s="441">
        <f t="shared" si="72"/>
        <v>7305</v>
      </c>
      <c r="T112" s="441">
        <f t="shared" si="72"/>
        <v>0</v>
      </c>
      <c r="U112" s="441">
        <f t="shared" si="72"/>
        <v>0</v>
      </c>
      <c r="V112" s="441">
        <f t="shared" si="72"/>
        <v>0</v>
      </c>
      <c r="W112" s="441">
        <f t="shared" si="72"/>
        <v>0</v>
      </c>
      <c r="X112" s="441">
        <f t="shared" si="72"/>
        <v>0</v>
      </c>
      <c r="Y112" s="441">
        <f t="shared" si="72"/>
        <v>0</v>
      </c>
      <c r="Z112" s="441">
        <f t="shared" si="72"/>
        <v>0</v>
      </c>
      <c r="AA112" s="441">
        <f>AA113</f>
        <v>21913</v>
      </c>
      <c r="AB112" s="113">
        <f>AA112*100/N112</f>
        <v>100</v>
      </c>
      <c r="AC112" s="441"/>
    </row>
    <row r="113" spans="1:29" s="127" customFormat="1" ht="12.75" customHeight="1">
      <c r="A113" s="439"/>
      <c r="B113" s="439">
        <v>85415</v>
      </c>
      <c r="C113" s="128"/>
      <c r="D113" s="555" t="s">
        <v>978</v>
      </c>
      <c r="E113" s="543"/>
      <c r="F113" s="402">
        <f aca="true" t="shared" si="73" ref="F113:Z113">F114</f>
        <v>0</v>
      </c>
      <c r="G113" s="442">
        <f t="shared" si="73"/>
        <v>0</v>
      </c>
      <c r="H113" s="442">
        <f t="shared" si="73"/>
        <v>0</v>
      </c>
      <c r="I113" s="442">
        <f t="shared" si="73"/>
        <v>21913</v>
      </c>
      <c r="J113" s="442">
        <f t="shared" si="73"/>
        <v>0</v>
      </c>
      <c r="K113" s="442">
        <f t="shared" si="73"/>
        <v>0</v>
      </c>
      <c r="L113" s="442">
        <f t="shared" si="73"/>
        <v>0</v>
      </c>
      <c r="M113" s="442">
        <f t="shared" si="73"/>
        <v>0</v>
      </c>
      <c r="N113" s="534">
        <f>N114</f>
        <v>21913</v>
      </c>
      <c r="O113" s="402">
        <f t="shared" si="73"/>
        <v>0</v>
      </c>
      <c r="P113" s="402">
        <f t="shared" si="73"/>
        <v>0</v>
      </c>
      <c r="Q113" s="402">
        <f t="shared" si="73"/>
        <v>0</v>
      </c>
      <c r="R113" s="402">
        <f t="shared" si="73"/>
        <v>14608</v>
      </c>
      <c r="S113" s="402">
        <f t="shared" si="73"/>
        <v>7305</v>
      </c>
      <c r="T113" s="402">
        <f t="shared" si="73"/>
        <v>0</v>
      </c>
      <c r="U113" s="402">
        <f t="shared" si="73"/>
        <v>0</v>
      </c>
      <c r="V113" s="402">
        <f t="shared" si="73"/>
        <v>0</v>
      </c>
      <c r="W113" s="402">
        <f t="shared" si="73"/>
        <v>0</v>
      </c>
      <c r="X113" s="402">
        <f t="shared" si="73"/>
        <v>0</v>
      </c>
      <c r="Y113" s="402">
        <f t="shared" si="73"/>
        <v>0</v>
      </c>
      <c r="Z113" s="402">
        <f t="shared" si="73"/>
        <v>0</v>
      </c>
      <c r="AA113" s="508">
        <f>AA114</f>
        <v>21913</v>
      </c>
      <c r="AB113" s="119">
        <f>AA113*100/N113</f>
        <v>100</v>
      </c>
      <c r="AC113" s="508"/>
    </row>
    <row r="114" spans="1:29" s="127" customFormat="1" ht="67.5">
      <c r="A114" s="439"/>
      <c r="B114" s="439"/>
      <c r="C114" s="128">
        <v>2030</v>
      </c>
      <c r="D114" s="129" t="s">
        <v>548</v>
      </c>
      <c r="E114" s="543"/>
      <c r="F114" s="450"/>
      <c r="G114" s="556"/>
      <c r="H114" s="556"/>
      <c r="I114" s="557">
        <v>21913</v>
      </c>
      <c r="J114" s="556"/>
      <c r="K114" s="556"/>
      <c r="L114" s="556"/>
      <c r="M114" s="556"/>
      <c r="N114" s="538">
        <f>F114+G114+H114+I114+J114+K114+L114+M114</f>
        <v>21913</v>
      </c>
      <c r="O114" s="450"/>
      <c r="P114" s="450"/>
      <c r="Q114" s="450"/>
      <c r="R114" s="558">
        <v>14608</v>
      </c>
      <c r="S114" s="558">
        <f>3652+3653</f>
        <v>7305</v>
      </c>
      <c r="T114" s="558"/>
      <c r="U114" s="450"/>
      <c r="V114" s="450"/>
      <c r="W114" s="450"/>
      <c r="X114" s="450"/>
      <c r="Y114" s="450"/>
      <c r="Z114" s="450"/>
      <c r="AA114" s="116">
        <f>SUM(O114:Z114)</f>
        <v>21913</v>
      </c>
      <c r="AB114" s="8">
        <f>AA114*100/N114</f>
        <v>100</v>
      </c>
      <c r="AC114" s="579" t="s">
        <v>89</v>
      </c>
    </row>
    <row r="115" spans="1:29" s="118" customFormat="1" ht="25.5">
      <c r="A115" s="444">
        <v>900</v>
      </c>
      <c r="B115" s="444"/>
      <c r="C115" s="444"/>
      <c r="D115" s="445" t="s">
        <v>979</v>
      </c>
      <c r="E115" s="3"/>
      <c r="F115" s="441">
        <f>F116+F118</f>
        <v>3200</v>
      </c>
      <c r="G115" s="542">
        <f>G116+G118</f>
        <v>0</v>
      </c>
      <c r="H115" s="542">
        <f aca="true" t="shared" si="74" ref="H115:M115">H116+H118</f>
        <v>0</v>
      </c>
      <c r="I115" s="542">
        <f t="shared" si="74"/>
        <v>0</v>
      </c>
      <c r="J115" s="542">
        <f t="shared" si="74"/>
        <v>0</v>
      </c>
      <c r="K115" s="542">
        <f t="shared" si="74"/>
        <v>0</v>
      </c>
      <c r="L115" s="542">
        <f t="shared" si="74"/>
        <v>0</v>
      </c>
      <c r="M115" s="542">
        <f t="shared" si="74"/>
        <v>0</v>
      </c>
      <c r="N115" s="441">
        <f>N116+N118</f>
        <v>3200</v>
      </c>
      <c r="O115" s="441">
        <f>O116+O118</f>
        <v>93.46</v>
      </c>
      <c r="P115" s="441">
        <f aca="true" t="shared" si="75" ref="P115:Z115">P116+P118</f>
        <v>93.46</v>
      </c>
      <c r="Q115" s="441">
        <f t="shared" si="75"/>
        <v>93.46</v>
      </c>
      <c r="R115" s="441">
        <f t="shared" si="75"/>
        <v>93.46</v>
      </c>
      <c r="S115" s="441">
        <f t="shared" si="75"/>
        <v>93.46</v>
      </c>
      <c r="T115" s="441">
        <f>T116+T118</f>
        <v>2489.59</v>
      </c>
      <c r="U115" s="441">
        <f t="shared" si="75"/>
        <v>0</v>
      </c>
      <c r="V115" s="441">
        <f t="shared" si="75"/>
        <v>0</v>
      </c>
      <c r="W115" s="441">
        <f t="shared" si="75"/>
        <v>0</v>
      </c>
      <c r="X115" s="441">
        <f t="shared" si="75"/>
        <v>0</v>
      </c>
      <c r="Y115" s="441">
        <f t="shared" si="75"/>
        <v>0</v>
      </c>
      <c r="Z115" s="441">
        <f t="shared" si="75"/>
        <v>0</v>
      </c>
      <c r="AA115" s="441">
        <f>AA116+AA118</f>
        <v>2956.8900000000003</v>
      </c>
      <c r="AB115" s="113">
        <f aca="true" t="shared" si="76" ref="AB115:AB126">AA115*100/N115</f>
        <v>92.40281250000002</v>
      </c>
      <c r="AC115" s="441"/>
    </row>
    <row r="116" spans="1:29" s="118" customFormat="1" ht="25.5">
      <c r="A116" s="439"/>
      <c r="B116" s="439">
        <v>90011</v>
      </c>
      <c r="C116" s="439"/>
      <c r="D116" s="440" t="s">
        <v>980</v>
      </c>
      <c r="E116" s="543"/>
      <c r="F116" s="402">
        <f aca="true" t="shared" si="77" ref="F116:Z116">SUM(F117:F117)</f>
        <v>2000</v>
      </c>
      <c r="G116" s="442">
        <f t="shared" si="77"/>
        <v>0</v>
      </c>
      <c r="H116" s="442">
        <f t="shared" si="77"/>
        <v>0</v>
      </c>
      <c r="I116" s="442">
        <f t="shared" si="77"/>
        <v>0</v>
      </c>
      <c r="J116" s="442">
        <f t="shared" si="77"/>
        <v>0</v>
      </c>
      <c r="K116" s="442">
        <f t="shared" si="77"/>
        <v>0</v>
      </c>
      <c r="L116" s="442">
        <f t="shared" si="77"/>
        <v>0</v>
      </c>
      <c r="M116" s="442">
        <f t="shared" si="77"/>
        <v>0</v>
      </c>
      <c r="N116" s="544">
        <f t="shared" si="77"/>
        <v>2000</v>
      </c>
      <c r="O116" s="402">
        <f t="shared" si="77"/>
        <v>0</v>
      </c>
      <c r="P116" s="402">
        <f t="shared" si="77"/>
        <v>0</v>
      </c>
      <c r="Q116" s="402">
        <f t="shared" si="77"/>
        <v>0</v>
      </c>
      <c r="R116" s="402">
        <f t="shared" si="77"/>
        <v>0</v>
      </c>
      <c r="S116" s="402">
        <f t="shared" si="77"/>
        <v>0</v>
      </c>
      <c r="T116" s="402">
        <f t="shared" si="77"/>
        <v>2396.13</v>
      </c>
      <c r="U116" s="402">
        <f t="shared" si="77"/>
        <v>0</v>
      </c>
      <c r="V116" s="402">
        <f t="shared" si="77"/>
        <v>0</v>
      </c>
      <c r="W116" s="402">
        <f t="shared" si="77"/>
        <v>0</v>
      </c>
      <c r="X116" s="402">
        <f t="shared" si="77"/>
        <v>0</v>
      </c>
      <c r="Y116" s="402">
        <f t="shared" si="77"/>
        <v>0</v>
      </c>
      <c r="Z116" s="402">
        <f t="shared" si="77"/>
        <v>0</v>
      </c>
      <c r="AA116" s="402">
        <f>SUM(AA117:AA117)</f>
        <v>2396.13</v>
      </c>
      <c r="AB116" s="119">
        <f t="shared" si="76"/>
        <v>119.8065</v>
      </c>
      <c r="AC116" s="402"/>
    </row>
    <row r="117" spans="1:29" s="118" customFormat="1" ht="12.75">
      <c r="A117" s="49"/>
      <c r="B117" s="49"/>
      <c r="C117" s="114" t="s">
        <v>981</v>
      </c>
      <c r="D117" s="50" t="s">
        <v>982</v>
      </c>
      <c r="E117" s="4" t="s">
        <v>81</v>
      </c>
      <c r="F117" s="120">
        <v>2000</v>
      </c>
      <c r="G117" s="545"/>
      <c r="H117" s="545"/>
      <c r="I117" s="545"/>
      <c r="J117" s="545"/>
      <c r="K117" s="545"/>
      <c r="L117" s="545"/>
      <c r="M117" s="545"/>
      <c r="N117" s="538">
        <f>F117+G117+H117+I117+J117+K117+L117+M117</f>
        <v>2000</v>
      </c>
      <c r="O117" s="120"/>
      <c r="P117" s="120"/>
      <c r="Q117" s="120"/>
      <c r="R117" s="120"/>
      <c r="S117" s="120"/>
      <c r="T117" s="120">
        <v>2396.13</v>
      </c>
      <c r="U117" s="120"/>
      <c r="V117" s="120"/>
      <c r="W117" s="120"/>
      <c r="X117" s="120"/>
      <c r="Y117" s="120"/>
      <c r="Z117" s="120"/>
      <c r="AA117" s="116">
        <f>SUM(O117:Z117)</f>
        <v>2396.13</v>
      </c>
      <c r="AB117" s="8">
        <f t="shared" si="76"/>
        <v>119.8065</v>
      </c>
      <c r="AC117" s="4" t="s">
        <v>81</v>
      </c>
    </row>
    <row r="118" spans="1:29" s="118" customFormat="1" ht="12.75">
      <c r="A118" s="49"/>
      <c r="B118" s="439">
        <v>90095</v>
      </c>
      <c r="C118" s="439"/>
      <c r="D118" s="440" t="s">
        <v>162</v>
      </c>
      <c r="E118" s="4"/>
      <c r="F118" s="402">
        <f>F119</f>
        <v>1200</v>
      </c>
      <c r="G118" s="442">
        <f>G119</f>
        <v>0</v>
      </c>
      <c r="H118" s="442">
        <f aca="true" t="shared" si="78" ref="H118:M118">H119</f>
        <v>0</v>
      </c>
      <c r="I118" s="442">
        <f t="shared" si="78"/>
        <v>0</v>
      </c>
      <c r="J118" s="442">
        <f t="shared" si="78"/>
        <v>0</v>
      </c>
      <c r="K118" s="442">
        <f t="shared" si="78"/>
        <v>0</v>
      </c>
      <c r="L118" s="442">
        <f t="shared" si="78"/>
        <v>0</v>
      </c>
      <c r="M118" s="442">
        <f t="shared" si="78"/>
        <v>0</v>
      </c>
      <c r="N118" s="534">
        <f>N119</f>
        <v>1200</v>
      </c>
      <c r="O118" s="402">
        <f>O119</f>
        <v>93.46</v>
      </c>
      <c r="P118" s="402">
        <f aca="true" t="shared" si="79" ref="P118:Z118">P119</f>
        <v>93.46</v>
      </c>
      <c r="Q118" s="402">
        <f t="shared" si="79"/>
        <v>93.46</v>
      </c>
      <c r="R118" s="402">
        <f t="shared" si="79"/>
        <v>93.46</v>
      </c>
      <c r="S118" s="402">
        <f t="shared" si="79"/>
        <v>93.46</v>
      </c>
      <c r="T118" s="402">
        <f t="shared" si="79"/>
        <v>93.46</v>
      </c>
      <c r="U118" s="402">
        <f t="shared" si="79"/>
        <v>0</v>
      </c>
      <c r="V118" s="402">
        <f t="shared" si="79"/>
        <v>0</v>
      </c>
      <c r="W118" s="402">
        <f t="shared" si="79"/>
        <v>0</v>
      </c>
      <c r="X118" s="402">
        <f t="shared" si="79"/>
        <v>0</v>
      </c>
      <c r="Y118" s="402">
        <f t="shared" si="79"/>
        <v>0</v>
      </c>
      <c r="Z118" s="402">
        <f t="shared" si="79"/>
        <v>0</v>
      </c>
      <c r="AA118" s="509">
        <f>AA119</f>
        <v>560.76</v>
      </c>
      <c r="AB118" s="119">
        <f t="shared" si="76"/>
        <v>46.73</v>
      </c>
      <c r="AC118" s="509"/>
    </row>
    <row r="119" spans="1:29" s="118" customFormat="1" ht="22.5">
      <c r="A119" s="49"/>
      <c r="B119" s="35"/>
      <c r="C119" s="114" t="s">
        <v>550</v>
      </c>
      <c r="D119" s="50" t="s">
        <v>551</v>
      </c>
      <c r="E119" s="4" t="s">
        <v>82</v>
      </c>
      <c r="F119" s="120">
        <v>1200</v>
      </c>
      <c r="G119" s="545"/>
      <c r="H119" s="545"/>
      <c r="I119" s="545"/>
      <c r="J119" s="545"/>
      <c r="K119" s="545"/>
      <c r="L119" s="545"/>
      <c r="M119" s="545"/>
      <c r="N119" s="538">
        <f>F119+G119+H119+I119+J119+K119+L119+M119</f>
        <v>1200</v>
      </c>
      <c r="O119" s="120">
        <v>93.46</v>
      </c>
      <c r="P119" s="120">
        <v>93.46</v>
      </c>
      <c r="Q119" s="120">
        <v>93.46</v>
      </c>
      <c r="R119" s="120">
        <v>93.46</v>
      </c>
      <c r="S119" s="120">
        <v>93.46</v>
      </c>
      <c r="T119" s="120">
        <v>93.46</v>
      </c>
      <c r="U119" s="120"/>
      <c r="V119" s="120"/>
      <c r="W119" s="120"/>
      <c r="X119" s="120"/>
      <c r="Y119" s="120"/>
      <c r="Z119" s="120"/>
      <c r="AA119" s="116">
        <f>SUM(O119:Z119)</f>
        <v>560.76</v>
      </c>
      <c r="AB119" s="8">
        <f>AA119*100/N119</f>
        <v>46.73</v>
      </c>
      <c r="AC119" s="4" t="s">
        <v>82</v>
      </c>
    </row>
    <row r="120" spans="1:29" s="118" customFormat="1" ht="12.75">
      <c r="A120" s="559">
        <v>926</v>
      </c>
      <c r="B120" s="540"/>
      <c r="C120" s="540"/>
      <c r="D120" s="541" t="s">
        <v>756</v>
      </c>
      <c r="E120" s="560"/>
      <c r="F120" s="561"/>
      <c r="G120" s="562"/>
      <c r="H120" s="562"/>
      <c r="I120" s="563">
        <f>I121</f>
        <v>40000</v>
      </c>
      <c r="J120" s="563"/>
      <c r="K120" s="563"/>
      <c r="L120" s="563"/>
      <c r="M120" s="563"/>
      <c r="N120" s="131">
        <f>N121</f>
        <v>40000</v>
      </c>
      <c r="O120" s="561"/>
      <c r="P120" s="561"/>
      <c r="Q120" s="561"/>
      <c r="R120" s="561"/>
      <c r="S120" s="561"/>
      <c r="T120" s="131">
        <f>T121</f>
        <v>0</v>
      </c>
      <c r="U120" s="561"/>
      <c r="V120" s="561"/>
      <c r="W120" s="561"/>
      <c r="X120" s="561"/>
      <c r="Y120" s="561"/>
      <c r="Z120" s="561"/>
      <c r="AA120" s="131">
        <f>AA121</f>
        <v>0</v>
      </c>
      <c r="AB120" s="113">
        <f t="shared" si="76"/>
        <v>0</v>
      </c>
      <c r="AC120" s="131"/>
    </row>
    <row r="121" spans="1:29" s="118" customFormat="1" ht="25.5">
      <c r="A121" s="33"/>
      <c r="B121" s="35">
        <v>92605</v>
      </c>
      <c r="C121" s="35"/>
      <c r="D121" s="36" t="s">
        <v>757</v>
      </c>
      <c r="E121" s="4"/>
      <c r="F121" s="120"/>
      <c r="G121" s="545"/>
      <c r="H121" s="545"/>
      <c r="I121" s="564">
        <f>I122</f>
        <v>40000</v>
      </c>
      <c r="J121" s="564"/>
      <c r="K121" s="564"/>
      <c r="L121" s="564"/>
      <c r="M121" s="564"/>
      <c r="N121" s="534">
        <f>N122</f>
        <v>40000</v>
      </c>
      <c r="O121" s="509"/>
      <c r="P121" s="509"/>
      <c r="Q121" s="509"/>
      <c r="R121" s="509"/>
      <c r="S121" s="509"/>
      <c r="T121" s="509">
        <f>T122</f>
        <v>0</v>
      </c>
      <c r="U121" s="509"/>
      <c r="V121" s="509"/>
      <c r="W121" s="509"/>
      <c r="X121" s="509"/>
      <c r="Y121" s="509"/>
      <c r="Z121" s="509"/>
      <c r="AA121" s="509">
        <f>AA122</f>
        <v>0</v>
      </c>
      <c r="AB121" s="119">
        <f t="shared" si="76"/>
        <v>0</v>
      </c>
      <c r="AC121" s="509"/>
    </row>
    <row r="122" spans="1:29" s="118" customFormat="1" ht="90">
      <c r="A122" s="33"/>
      <c r="B122" s="35"/>
      <c r="C122" s="72">
        <v>2710</v>
      </c>
      <c r="D122" s="378" t="s">
        <v>83</v>
      </c>
      <c r="E122" s="4"/>
      <c r="F122" s="120"/>
      <c r="G122" s="545"/>
      <c r="H122" s="545"/>
      <c r="I122" s="545">
        <v>40000</v>
      </c>
      <c r="J122" s="545"/>
      <c r="K122" s="545"/>
      <c r="L122" s="545"/>
      <c r="M122" s="545"/>
      <c r="N122" s="538">
        <f>F122+G122+H122+I122+J122+K122+L122+M122</f>
        <v>40000</v>
      </c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16">
        <f>SUM(O122:Z122)</f>
        <v>0</v>
      </c>
      <c r="AB122" s="8">
        <f t="shared" si="76"/>
        <v>0</v>
      </c>
      <c r="AC122" s="577" t="s">
        <v>1049</v>
      </c>
    </row>
    <row r="123" spans="1:29" s="118" customFormat="1" ht="12.75" customHeight="1" hidden="1">
      <c r="A123" s="565">
        <v>921</v>
      </c>
      <c r="B123" s="444"/>
      <c r="C123" s="444"/>
      <c r="D123" s="445" t="s">
        <v>983</v>
      </c>
      <c r="E123" s="324"/>
      <c r="F123" s="441">
        <f aca="true" t="shared" si="80" ref="F123:U124">F124</f>
        <v>0</v>
      </c>
      <c r="G123" s="542">
        <f t="shared" si="80"/>
        <v>0</v>
      </c>
      <c r="H123" s="542">
        <f t="shared" si="80"/>
        <v>0</v>
      </c>
      <c r="I123" s="542">
        <f t="shared" si="80"/>
        <v>0</v>
      </c>
      <c r="J123" s="542">
        <f t="shared" si="80"/>
        <v>0</v>
      </c>
      <c r="K123" s="542">
        <f t="shared" si="80"/>
        <v>0</v>
      </c>
      <c r="L123" s="542">
        <f t="shared" si="80"/>
        <v>0</v>
      </c>
      <c r="M123" s="542">
        <f t="shared" si="80"/>
        <v>0</v>
      </c>
      <c r="N123" s="131">
        <f>N124</f>
        <v>0</v>
      </c>
      <c r="O123" s="441">
        <f t="shared" si="80"/>
        <v>0</v>
      </c>
      <c r="P123" s="441">
        <f t="shared" si="80"/>
        <v>0</v>
      </c>
      <c r="Q123" s="441">
        <f t="shared" si="80"/>
        <v>0</v>
      </c>
      <c r="R123" s="441">
        <f t="shared" si="80"/>
        <v>0</v>
      </c>
      <c r="S123" s="441">
        <f t="shared" si="80"/>
        <v>0</v>
      </c>
      <c r="T123" s="441">
        <f t="shared" si="80"/>
        <v>0</v>
      </c>
      <c r="U123" s="441">
        <f t="shared" si="80"/>
        <v>0</v>
      </c>
      <c r="V123" s="441">
        <f aca="true" t="shared" si="81" ref="V123:AA124">V124</f>
        <v>0</v>
      </c>
      <c r="W123" s="441">
        <f t="shared" si="81"/>
        <v>0</v>
      </c>
      <c r="X123" s="441">
        <f t="shared" si="81"/>
        <v>0</v>
      </c>
      <c r="Y123" s="441">
        <f t="shared" si="81"/>
        <v>0</v>
      </c>
      <c r="Z123" s="441">
        <f t="shared" si="81"/>
        <v>0</v>
      </c>
      <c r="AA123" s="131">
        <f t="shared" si="81"/>
        <v>0</v>
      </c>
      <c r="AB123" s="131" t="e">
        <f t="shared" si="76"/>
        <v>#DIV/0!</v>
      </c>
      <c r="AC123" s="131"/>
    </row>
    <row r="124" spans="1:29" s="118" customFormat="1" ht="12.75" customHeight="1" hidden="1">
      <c r="A124" s="49"/>
      <c r="B124" s="439">
        <v>92116</v>
      </c>
      <c r="C124" s="439"/>
      <c r="D124" s="440" t="s">
        <v>984</v>
      </c>
      <c r="E124" s="325"/>
      <c r="F124" s="402">
        <f t="shared" si="80"/>
        <v>0</v>
      </c>
      <c r="G124" s="442">
        <f t="shared" si="80"/>
        <v>0</v>
      </c>
      <c r="H124" s="442">
        <f t="shared" si="80"/>
        <v>0</v>
      </c>
      <c r="I124" s="442">
        <f t="shared" si="80"/>
        <v>0</v>
      </c>
      <c r="J124" s="442">
        <f t="shared" si="80"/>
        <v>0</v>
      </c>
      <c r="K124" s="442">
        <f t="shared" si="80"/>
        <v>0</v>
      </c>
      <c r="L124" s="442">
        <f t="shared" si="80"/>
        <v>0</v>
      </c>
      <c r="M124" s="442">
        <f t="shared" si="80"/>
        <v>0</v>
      </c>
      <c r="N124" s="534">
        <f>N125</f>
        <v>0</v>
      </c>
      <c r="O124" s="402">
        <f t="shared" si="80"/>
        <v>0</v>
      </c>
      <c r="P124" s="402">
        <f t="shared" si="80"/>
        <v>0</v>
      </c>
      <c r="Q124" s="402">
        <f t="shared" si="80"/>
        <v>0</v>
      </c>
      <c r="R124" s="402">
        <f t="shared" si="80"/>
        <v>0</v>
      </c>
      <c r="S124" s="402">
        <f t="shared" si="80"/>
        <v>0</v>
      </c>
      <c r="T124" s="402">
        <f t="shared" si="80"/>
        <v>0</v>
      </c>
      <c r="U124" s="402">
        <f t="shared" si="80"/>
        <v>0</v>
      </c>
      <c r="V124" s="402">
        <f t="shared" si="81"/>
        <v>0</v>
      </c>
      <c r="W124" s="402">
        <f t="shared" si="81"/>
        <v>0</v>
      </c>
      <c r="X124" s="402">
        <f t="shared" si="81"/>
        <v>0</v>
      </c>
      <c r="Y124" s="402">
        <f t="shared" si="81"/>
        <v>0</v>
      </c>
      <c r="Z124" s="402">
        <f t="shared" si="81"/>
        <v>0</v>
      </c>
      <c r="AA124" s="509">
        <f t="shared" si="81"/>
        <v>0</v>
      </c>
      <c r="AB124" s="119" t="e">
        <f t="shared" si="76"/>
        <v>#DIV/0!</v>
      </c>
      <c r="AC124" s="509"/>
    </row>
    <row r="125" spans="1:29" s="118" customFormat="1" ht="54.75" customHeight="1" hidden="1">
      <c r="A125" s="49"/>
      <c r="B125" s="439"/>
      <c r="C125" s="128">
        <v>2020</v>
      </c>
      <c r="D125" s="129" t="s">
        <v>988</v>
      </c>
      <c r="E125" s="4"/>
      <c r="F125" s="120"/>
      <c r="G125" s="545"/>
      <c r="H125" s="545"/>
      <c r="I125" s="545"/>
      <c r="J125" s="545"/>
      <c r="K125" s="545"/>
      <c r="L125" s="545"/>
      <c r="M125" s="545"/>
      <c r="N125" s="538">
        <f>F125+G125+H125+I125+J125+K125+L125</f>
        <v>0</v>
      </c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  <c r="AA125" s="116">
        <f>SUM(O125:Z125)</f>
        <v>0</v>
      </c>
      <c r="AB125" s="8" t="e">
        <f>AA125*100/N125</f>
        <v>#DIV/0!</v>
      </c>
      <c r="AC125" s="116"/>
    </row>
    <row r="126" spans="1:29" s="112" customFormat="1" ht="15.75">
      <c r="A126" s="566"/>
      <c r="B126" s="567"/>
      <c r="C126" s="567"/>
      <c r="D126" s="566" t="s">
        <v>989</v>
      </c>
      <c r="E126" s="3"/>
      <c r="F126" s="568">
        <f>F10+F16+F23+F30+F37+F40+F70+F80+F98+F115+F123+F112+F6</f>
        <v>16282082</v>
      </c>
      <c r="G126" s="569">
        <f>G10+G16+G23+G30+G37+G40+G70+G80+G98+G115+G123+G112+G6</f>
        <v>524590</v>
      </c>
      <c r="H126" s="569">
        <f>H10+H16+H23+H30+H37+H40+H70+H80+H98+H115+H123+H112+H6</f>
        <v>15400</v>
      </c>
      <c r="I126" s="569">
        <f>I10+I16+I23+I30+I37+I40+I70+I80+I98+I115+I123+I112+I6+I120</f>
        <v>743441</v>
      </c>
      <c r="J126" s="569">
        <f>J10+J16+J23+J30+J37+J40+J70+J80+J98+J115+J123+J112+J6</f>
        <v>0</v>
      </c>
      <c r="K126" s="569">
        <f>K10+K16+K23+K30+K37+K40+K70+K80+K98+K115+K123+K112+K6</f>
        <v>0</v>
      </c>
      <c r="L126" s="569">
        <f>L10+L16+L23+L30+L37+L40+L70+L80+L98+L115+L123+L112+L6</f>
        <v>0</v>
      </c>
      <c r="M126" s="569">
        <f>M10+M16+M23+M30+M37+M40+M70+M80+M98+M115+M123+M112+M6</f>
        <v>0</v>
      </c>
      <c r="N126" s="568">
        <f>N10+N16+N23+N30+N37+N40+N70+N80+N98+N115+N123+N112+N6+N120</f>
        <v>17565513</v>
      </c>
      <c r="O126" s="568">
        <f aca="true" t="shared" si="82" ref="O126:Z126">O10+O16+O23+O30+O37+O40+O70+O80+O98+O115+O123+O112+O6</f>
        <v>1196698.29</v>
      </c>
      <c r="P126" s="568">
        <f t="shared" si="82"/>
        <v>1575477.2</v>
      </c>
      <c r="Q126" s="568">
        <f t="shared" si="82"/>
        <v>1725011.33</v>
      </c>
      <c r="R126" s="568">
        <f t="shared" si="82"/>
        <v>1127936.6999999997</v>
      </c>
      <c r="S126" s="568">
        <f t="shared" si="82"/>
        <v>1853618.79</v>
      </c>
      <c r="T126" s="568">
        <f>T10+T16+T23+T30+T37+T40+T70+T80+T98+T115+T123+T112+T6+T120</f>
        <v>1275909.05</v>
      </c>
      <c r="U126" s="568">
        <f t="shared" si="82"/>
        <v>168899.47</v>
      </c>
      <c r="V126" s="568">
        <f t="shared" si="82"/>
        <v>0</v>
      </c>
      <c r="W126" s="568">
        <f t="shared" si="82"/>
        <v>0</v>
      </c>
      <c r="X126" s="568">
        <f t="shared" si="82"/>
        <v>0</v>
      </c>
      <c r="Y126" s="568">
        <f t="shared" si="82"/>
        <v>0</v>
      </c>
      <c r="Z126" s="568">
        <f t="shared" si="82"/>
        <v>0</v>
      </c>
      <c r="AA126" s="568">
        <f>AA10+AA16+AA23+AA30+AA37+AA40+AA70+AA80+AA98+AA115+AA123+AA112+AA6+AA120</f>
        <v>8923550.830000002</v>
      </c>
      <c r="AB126" s="568">
        <f t="shared" si="76"/>
        <v>50.801538389456674</v>
      </c>
      <c r="AC126" s="568"/>
    </row>
    <row r="127" spans="5:26" s="118" customFormat="1" ht="12.75">
      <c r="E127" s="323"/>
      <c r="F127" s="451"/>
      <c r="G127" s="570"/>
      <c r="H127" s="570"/>
      <c r="I127" s="570"/>
      <c r="J127" s="570"/>
      <c r="K127" s="570"/>
      <c r="L127" s="570"/>
      <c r="M127" s="570"/>
      <c r="N127" s="123"/>
      <c r="O127" s="451"/>
      <c r="P127" s="451"/>
      <c r="Q127" s="451"/>
      <c r="R127" s="451"/>
      <c r="S127" s="451"/>
      <c r="T127" s="451"/>
      <c r="U127" s="451"/>
      <c r="V127" s="451"/>
      <c r="W127" s="451"/>
      <c r="X127" s="451"/>
      <c r="Y127" s="451"/>
      <c r="Z127" s="451"/>
    </row>
    <row r="128" spans="4:29" s="118" customFormat="1" ht="12.75">
      <c r="D128" s="127"/>
      <c r="E128" s="12"/>
      <c r="F128" s="452"/>
      <c r="G128" s="571"/>
      <c r="H128" s="571"/>
      <c r="I128" s="571"/>
      <c r="J128" s="571"/>
      <c r="K128" s="571"/>
      <c r="L128" s="571"/>
      <c r="M128" s="571"/>
      <c r="N128" s="452"/>
      <c r="O128" s="452"/>
      <c r="P128" s="452"/>
      <c r="Q128" s="452"/>
      <c r="R128" s="452"/>
      <c r="S128" s="452"/>
      <c r="T128" s="452"/>
      <c r="U128" s="452"/>
      <c r="V128" s="452"/>
      <c r="W128" s="452"/>
      <c r="X128" s="452"/>
      <c r="Y128" s="452"/>
      <c r="Z128" s="452"/>
      <c r="AA128" s="452"/>
      <c r="AC128" s="452"/>
    </row>
    <row r="129" spans="4:29" s="118" customFormat="1" ht="12.75">
      <c r="D129" s="127"/>
      <c r="E129" s="12"/>
      <c r="F129" s="452"/>
      <c r="G129" s="571"/>
      <c r="H129" s="571"/>
      <c r="I129" s="571"/>
      <c r="J129" s="571"/>
      <c r="K129" s="571"/>
      <c r="L129" s="571"/>
      <c r="M129" s="571"/>
      <c r="N129" s="132"/>
      <c r="O129" s="452"/>
      <c r="P129" s="452"/>
      <c r="Q129" s="452"/>
      <c r="R129" s="452"/>
      <c r="S129" s="452"/>
      <c r="T129" s="452"/>
      <c r="U129" s="452"/>
      <c r="V129" s="452"/>
      <c r="W129" s="452"/>
      <c r="X129" s="452"/>
      <c r="Y129" s="452"/>
      <c r="Z129" s="452"/>
      <c r="AA129" s="132"/>
      <c r="AC129" s="132"/>
    </row>
    <row r="130" spans="6:29" ht="12.75">
      <c r="F130" s="572"/>
      <c r="G130" s="573"/>
      <c r="H130" s="573"/>
      <c r="I130" s="573"/>
      <c r="J130" s="573"/>
      <c r="K130" s="573"/>
      <c r="L130" s="573"/>
      <c r="M130" s="573"/>
      <c r="N130" s="574"/>
      <c r="O130" s="572"/>
      <c r="P130" s="572"/>
      <c r="Q130" s="572"/>
      <c r="R130" s="572"/>
      <c r="S130" s="572"/>
      <c r="T130" s="572"/>
      <c r="U130" s="572"/>
      <c r="V130" s="572"/>
      <c r="W130" s="572"/>
      <c r="X130" s="572"/>
      <c r="Y130" s="572"/>
      <c r="Z130" s="572"/>
      <c r="AA130" s="574"/>
      <c r="AC130" s="574"/>
    </row>
    <row r="131" ht="12.75">
      <c r="N131" s="433"/>
    </row>
    <row r="132" spans="6:26" ht="12.75">
      <c r="F132" s="572"/>
      <c r="G132" s="573"/>
      <c r="H132" s="573"/>
      <c r="I132" s="573"/>
      <c r="J132" s="573"/>
      <c r="K132" s="573"/>
      <c r="L132" s="573"/>
      <c r="M132" s="573"/>
      <c r="N132" s="433"/>
      <c r="O132" s="572"/>
      <c r="P132" s="572"/>
      <c r="Q132" s="572"/>
      <c r="R132" s="572"/>
      <c r="S132" s="572"/>
      <c r="T132" s="572"/>
      <c r="U132" s="572"/>
      <c r="V132" s="572"/>
      <c r="W132" s="572"/>
      <c r="X132" s="572"/>
      <c r="Y132" s="572"/>
      <c r="Z132" s="572"/>
    </row>
    <row r="133" ht="12.75">
      <c r="N133" s="433"/>
    </row>
    <row r="134" ht="12.75">
      <c r="N134" s="433"/>
    </row>
    <row r="135" ht="12.75">
      <c r="N135" s="433"/>
    </row>
    <row r="136" ht="12.75">
      <c r="N136" s="433"/>
    </row>
    <row r="137" ht="12.75">
      <c r="N137" s="433"/>
    </row>
    <row r="138" ht="12.75">
      <c r="N138" s="433"/>
    </row>
    <row r="139" ht="12.75">
      <c r="N139" s="433"/>
    </row>
    <row r="140" ht="12.75">
      <c r="N140" s="433"/>
    </row>
    <row r="141" ht="12.75">
      <c r="N141" s="433"/>
    </row>
    <row r="142" ht="12.75">
      <c r="N142" s="433"/>
    </row>
    <row r="143" ht="12.75">
      <c r="N143" s="433"/>
    </row>
    <row r="144" ht="12.75">
      <c r="N144" s="433"/>
    </row>
    <row r="145" ht="12.75">
      <c r="N145" s="433"/>
    </row>
    <row r="146" ht="12.75">
      <c r="N146" s="433"/>
    </row>
    <row r="147" ht="12.75">
      <c r="N147" s="433"/>
    </row>
    <row r="148" ht="12.75">
      <c r="N148" s="433"/>
    </row>
    <row r="149" ht="12.75">
      <c r="N149" s="433"/>
    </row>
    <row r="150" ht="12.75">
      <c r="N150" s="433"/>
    </row>
    <row r="151" ht="12.75">
      <c r="N151" s="433"/>
    </row>
    <row r="152" ht="12.75">
      <c r="N152" s="433"/>
    </row>
    <row r="153" ht="12.75">
      <c r="N153" s="433"/>
    </row>
    <row r="154" ht="12.75">
      <c r="N154" s="433"/>
    </row>
    <row r="155" ht="12.75">
      <c r="N155" s="433"/>
    </row>
    <row r="156" ht="12.75">
      <c r="N156" s="433"/>
    </row>
    <row r="157" ht="12.75">
      <c r="N157" s="433"/>
    </row>
    <row r="158" ht="12.75">
      <c r="N158" s="433"/>
    </row>
    <row r="159" ht="12.75">
      <c r="N159" s="433"/>
    </row>
    <row r="160" ht="12.75">
      <c r="N160" s="433"/>
    </row>
    <row r="161" ht="12.75">
      <c r="N161" s="433"/>
    </row>
    <row r="162" ht="12.75">
      <c r="N162" s="433"/>
    </row>
    <row r="163" ht="12.75">
      <c r="N163" s="433"/>
    </row>
    <row r="164" ht="12.75">
      <c r="N164" s="433"/>
    </row>
    <row r="165" ht="12.75">
      <c r="N165" s="433"/>
    </row>
    <row r="166" ht="12.75">
      <c r="N166" s="433"/>
    </row>
    <row r="167" ht="12.75">
      <c r="N167" s="433"/>
    </row>
    <row r="168" ht="12.75">
      <c r="N168" s="433"/>
    </row>
    <row r="169" ht="12.75">
      <c r="N169" s="433"/>
    </row>
    <row r="170" ht="12.75">
      <c r="N170" s="433"/>
    </row>
    <row r="171" ht="12.75">
      <c r="N171" s="433"/>
    </row>
    <row r="172" ht="12.75">
      <c r="N172" s="433"/>
    </row>
    <row r="173" ht="12.75">
      <c r="N173" s="433"/>
    </row>
    <row r="174" ht="12.75">
      <c r="N174" s="433"/>
    </row>
    <row r="175" ht="12.75">
      <c r="N175" s="433"/>
    </row>
    <row r="176" ht="12.75">
      <c r="N176" s="433"/>
    </row>
    <row r="177" ht="12.75">
      <c r="N177" s="433"/>
    </row>
    <row r="178" ht="12.75">
      <c r="N178" s="433"/>
    </row>
    <row r="179" ht="12.75">
      <c r="N179" s="433"/>
    </row>
    <row r="180" ht="12.75">
      <c r="N180" s="433"/>
    </row>
    <row r="181" ht="12.75">
      <c r="N181" s="433"/>
    </row>
    <row r="182" ht="12.75">
      <c r="N182" s="433"/>
    </row>
    <row r="183" ht="12.75">
      <c r="N183" s="433"/>
    </row>
    <row r="184" ht="12.75">
      <c r="N184" s="433"/>
    </row>
    <row r="185" ht="12.75">
      <c r="N185" s="433"/>
    </row>
    <row r="186" ht="12.75">
      <c r="N186" s="433"/>
    </row>
    <row r="187" ht="12.75">
      <c r="N187" s="433"/>
    </row>
    <row r="188" ht="12.75">
      <c r="N188" s="433"/>
    </row>
    <row r="189" ht="12.75">
      <c r="N189" s="433"/>
    </row>
    <row r="190" ht="12.75">
      <c r="N190" s="433"/>
    </row>
    <row r="191" ht="12.75">
      <c r="N191" s="433"/>
    </row>
    <row r="192" ht="12.75">
      <c r="N192" s="433"/>
    </row>
    <row r="193" ht="12.75">
      <c r="N193" s="433"/>
    </row>
    <row r="194" ht="12.75">
      <c r="N194" s="433"/>
    </row>
    <row r="195" ht="12.75">
      <c r="N195" s="433"/>
    </row>
    <row r="196" ht="12.75">
      <c r="N196" s="433"/>
    </row>
    <row r="197" ht="12.75">
      <c r="N197" s="433"/>
    </row>
    <row r="198" ht="12.75">
      <c r="N198" s="433"/>
    </row>
    <row r="199" ht="12.75">
      <c r="N199" s="433"/>
    </row>
    <row r="200" ht="12.75">
      <c r="N200" s="433"/>
    </row>
    <row r="201" ht="12.75">
      <c r="N201" s="433"/>
    </row>
    <row r="202" ht="12.75">
      <c r="N202" s="433"/>
    </row>
    <row r="203" ht="12.75">
      <c r="N203" s="433"/>
    </row>
    <row r="204" ht="12.75">
      <c r="N204" s="433"/>
    </row>
    <row r="205" ht="12.75">
      <c r="N205" s="433"/>
    </row>
    <row r="206" ht="12.75">
      <c r="N206" s="433"/>
    </row>
    <row r="207" ht="12.75">
      <c r="N207" s="433"/>
    </row>
    <row r="208" ht="12.75">
      <c r="N208" s="433"/>
    </row>
    <row r="209" ht="12.75">
      <c r="N209" s="433"/>
    </row>
    <row r="210" ht="12.75">
      <c r="N210" s="433"/>
    </row>
    <row r="211" ht="12.75">
      <c r="N211" s="433"/>
    </row>
    <row r="212" ht="12.75">
      <c r="N212" s="433"/>
    </row>
    <row r="213" ht="12.75">
      <c r="N213" s="433"/>
    </row>
    <row r="214" ht="12.75">
      <c r="N214" s="433"/>
    </row>
    <row r="215" ht="12.75">
      <c r="N215" s="433"/>
    </row>
    <row r="216" ht="12.75">
      <c r="N216" s="433"/>
    </row>
    <row r="217" ht="12.75">
      <c r="N217" s="433"/>
    </row>
    <row r="218" ht="12.75">
      <c r="N218" s="433"/>
    </row>
    <row r="219" ht="12.75">
      <c r="N219" s="433"/>
    </row>
    <row r="220" ht="12.75">
      <c r="N220" s="433"/>
    </row>
    <row r="221" ht="12.75">
      <c r="N221" s="433"/>
    </row>
    <row r="222" ht="12.75">
      <c r="N222" s="433"/>
    </row>
    <row r="223" ht="12.75">
      <c r="N223" s="433"/>
    </row>
    <row r="224" ht="12.75">
      <c r="N224" s="433"/>
    </row>
    <row r="225" ht="12.75">
      <c r="N225" s="433"/>
    </row>
    <row r="226" ht="12.75">
      <c r="N226" s="433"/>
    </row>
    <row r="227" ht="12.75">
      <c r="N227" s="433"/>
    </row>
    <row r="228" ht="12.75">
      <c r="N228" s="433"/>
    </row>
    <row r="229" ht="12.75">
      <c r="N229" s="433"/>
    </row>
    <row r="230" ht="12.75">
      <c r="N230" s="433"/>
    </row>
    <row r="231" ht="12.75">
      <c r="N231" s="433"/>
    </row>
    <row r="232" ht="12.75">
      <c r="N232" s="433"/>
    </row>
    <row r="233" ht="12.75">
      <c r="N233" s="433"/>
    </row>
    <row r="234" ht="12.75">
      <c r="N234" s="433"/>
    </row>
    <row r="235" ht="12.75">
      <c r="N235" s="433"/>
    </row>
    <row r="236" ht="12.75">
      <c r="N236" s="433"/>
    </row>
    <row r="237" ht="12.75">
      <c r="N237" s="433"/>
    </row>
    <row r="238" ht="12.75">
      <c r="N238" s="433"/>
    </row>
    <row r="239" ht="12.75">
      <c r="N239" s="433"/>
    </row>
    <row r="240" ht="12.75">
      <c r="N240" s="433"/>
    </row>
    <row r="241" ht="12.75">
      <c r="N241" s="433"/>
    </row>
    <row r="242" ht="12.75">
      <c r="N242" s="433"/>
    </row>
    <row r="243" ht="12.75">
      <c r="N243" s="433"/>
    </row>
    <row r="244" ht="12.75">
      <c r="N244" s="433"/>
    </row>
    <row r="245" ht="12.75">
      <c r="N245" s="433"/>
    </row>
    <row r="246" ht="12.75">
      <c r="N246" s="433"/>
    </row>
    <row r="247" ht="12.75">
      <c r="N247" s="433"/>
    </row>
    <row r="248" ht="12.75">
      <c r="N248" s="433"/>
    </row>
    <row r="249" ht="12.75">
      <c r="N249" s="433"/>
    </row>
    <row r="250" ht="12.75">
      <c r="N250" s="433"/>
    </row>
    <row r="251" ht="12.75">
      <c r="N251" s="433"/>
    </row>
    <row r="252" ht="12.75">
      <c r="N252" s="433"/>
    </row>
    <row r="253" ht="12.75">
      <c r="N253" s="433"/>
    </row>
    <row r="254" ht="12.75">
      <c r="N254" s="433"/>
    </row>
    <row r="255" ht="12.75">
      <c r="N255" s="433"/>
    </row>
    <row r="256" ht="12.75">
      <c r="N256" s="433"/>
    </row>
    <row r="257" ht="12.75">
      <c r="N257" s="433"/>
    </row>
    <row r="258" ht="12.75">
      <c r="N258" s="433"/>
    </row>
    <row r="259" ht="12.75">
      <c r="N259" s="433"/>
    </row>
    <row r="260" ht="12.75">
      <c r="N260" s="433"/>
    </row>
    <row r="261" ht="12.75">
      <c r="N261" s="433"/>
    </row>
    <row r="262" ht="12.75">
      <c r="N262" s="433"/>
    </row>
    <row r="263" ht="12.75">
      <c r="N263" s="433"/>
    </row>
    <row r="264" ht="12.75">
      <c r="N264" s="433"/>
    </row>
    <row r="265" ht="12.75">
      <c r="N265" s="433"/>
    </row>
    <row r="266" ht="12.75">
      <c r="N266" s="433"/>
    </row>
    <row r="267" ht="12.75">
      <c r="N267" s="433"/>
    </row>
    <row r="268" ht="12.75">
      <c r="N268" s="433"/>
    </row>
    <row r="269" ht="12.75">
      <c r="N269" s="433"/>
    </row>
    <row r="270" ht="12.75">
      <c r="N270" s="433"/>
    </row>
    <row r="271" ht="12.75">
      <c r="N271" s="433"/>
    </row>
    <row r="272" ht="12.75">
      <c r="N272" s="433"/>
    </row>
    <row r="273" ht="12.75">
      <c r="N273" s="433"/>
    </row>
    <row r="274" ht="12.75">
      <c r="N274" s="433"/>
    </row>
    <row r="275" ht="12.75">
      <c r="N275" s="433"/>
    </row>
    <row r="276" ht="12.75">
      <c r="N276" s="433"/>
    </row>
    <row r="277" ht="12.75">
      <c r="N277" s="433"/>
    </row>
    <row r="278" ht="12.75">
      <c r="N278" s="433"/>
    </row>
    <row r="279" ht="12.75">
      <c r="N279" s="433"/>
    </row>
    <row r="280" ht="12.75">
      <c r="N280" s="433"/>
    </row>
    <row r="281" ht="12.75">
      <c r="N281" s="433"/>
    </row>
    <row r="282" ht="12.75">
      <c r="N282" s="433"/>
    </row>
    <row r="283" ht="12.75">
      <c r="N283" s="433"/>
    </row>
    <row r="284" ht="12.75">
      <c r="N284" s="433"/>
    </row>
    <row r="285" ht="12.75">
      <c r="N285" s="433"/>
    </row>
    <row r="286" ht="12.75">
      <c r="N286" s="433"/>
    </row>
    <row r="287" ht="12.75">
      <c r="N287" s="433"/>
    </row>
    <row r="288" ht="12.75">
      <c r="N288" s="433"/>
    </row>
    <row r="289" ht="12.75">
      <c r="N289" s="433"/>
    </row>
    <row r="290" ht="12.75">
      <c r="N290" s="433"/>
    </row>
    <row r="291" ht="12.75">
      <c r="N291" s="433"/>
    </row>
    <row r="292" ht="12.75">
      <c r="N292" s="433"/>
    </row>
    <row r="293" ht="12.75">
      <c r="N293" s="433"/>
    </row>
    <row r="294" ht="12.75">
      <c r="N294" s="433"/>
    </row>
    <row r="295" ht="12.75">
      <c r="N295" s="433"/>
    </row>
    <row r="296" ht="12.75">
      <c r="N296" s="433"/>
    </row>
    <row r="297" ht="12.75">
      <c r="N297" s="433"/>
    </row>
    <row r="298" ht="12.75">
      <c r="N298" s="433"/>
    </row>
    <row r="299" ht="12.75">
      <c r="N299" s="433"/>
    </row>
    <row r="300" ht="12.75">
      <c r="N300" s="433"/>
    </row>
    <row r="301" ht="12.75">
      <c r="N301" s="433"/>
    </row>
    <row r="302" ht="12.75">
      <c r="N302" s="433"/>
    </row>
    <row r="303" ht="12.75">
      <c r="N303" s="433"/>
    </row>
    <row r="304" ht="12.75">
      <c r="N304" s="433"/>
    </row>
    <row r="305" ht="12.75">
      <c r="N305" s="433"/>
    </row>
    <row r="306" ht="12.75">
      <c r="N306" s="433"/>
    </row>
    <row r="307" ht="12.75">
      <c r="N307" s="433"/>
    </row>
    <row r="308" ht="12.75">
      <c r="N308" s="433"/>
    </row>
    <row r="309" ht="12.75">
      <c r="N309" s="433"/>
    </row>
    <row r="310" ht="12.75">
      <c r="N310" s="433"/>
    </row>
    <row r="311" ht="12.75">
      <c r="N311" s="433"/>
    </row>
    <row r="312" ht="12.75">
      <c r="N312" s="433"/>
    </row>
    <row r="313" ht="12.75">
      <c r="N313" s="433"/>
    </row>
    <row r="314" ht="12.75">
      <c r="N314" s="433"/>
    </row>
    <row r="315" ht="12.75">
      <c r="N315" s="433"/>
    </row>
    <row r="316" ht="12.75">
      <c r="N316" s="433"/>
    </row>
    <row r="317" ht="12.75">
      <c r="N317" s="433"/>
    </row>
    <row r="318" ht="12.75">
      <c r="N318" s="433"/>
    </row>
    <row r="319" ht="12.75">
      <c r="N319" s="433"/>
    </row>
    <row r="320" ht="12.75">
      <c r="N320" s="433"/>
    </row>
    <row r="321" ht="12.75">
      <c r="N321" s="433"/>
    </row>
    <row r="322" ht="12.75">
      <c r="N322" s="433"/>
    </row>
    <row r="323" ht="12.75">
      <c r="N323" s="433"/>
    </row>
    <row r="324" ht="12.75">
      <c r="N324" s="433"/>
    </row>
    <row r="325" ht="12.75">
      <c r="N325" s="433"/>
    </row>
    <row r="326" ht="12.75">
      <c r="N326" s="433"/>
    </row>
    <row r="327" ht="12.75">
      <c r="N327" s="433"/>
    </row>
    <row r="328" ht="12.75">
      <c r="N328" s="433"/>
    </row>
    <row r="329" ht="12.75">
      <c r="N329" s="433"/>
    </row>
    <row r="330" ht="12.75">
      <c r="N330" s="433"/>
    </row>
    <row r="331" ht="12.75">
      <c r="N331" s="433"/>
    </row>
    <row r="332" ht="12.75">
      <c r="N332" s="433"/>
    </row>
    <row r="333" ht="12.75">
      <c r="N333" s="433"/>
    </row>
    <row r="334" ht="12.75">
      <c r="N334" s="433"/>
    </row>
    <row r="335" ht="12.75">
      <c r="N335" s="433"/>
    </row>
    <row r="336" ht="12.75">
      <c r="N336" s="433"/>
    </row>
    <row r="337" ht="12.75">
      <c r="N337" s="433"/>
    </row>
    <row r="338" ht="12.75">
      <c r="N338" s="433"/>
    </row>
    <row r="339" ht="12.75">
      <c r="N339" s="433"/>
    </row>
    <row r="340" ht="12.75">
      <c r="N340" s="433"/>
    </row>
    <row r="341" ht="12.75">
      <c r="N341" s="433"/>
    </row>
    <row r="342" ht="12.75">
      <c r="N342" s="433"/>
    </row>
    <row r="343" ht="12.75">
      <c r="N343" s="433"/>
    </row>
    <row r="344" ht="12.75">
      <c r="N344" s="433"/>
    </row>
    <row r="345" ht="12.75">
      <c r="N345" s="433"/>
    </row>
    <row r="346" ht="12.75">
      <c r="N346" s="433"/>
    </row>
    <row r="347" ht="12.75">
      <c r="N347" s="433"/>
    </row>
    <row r="348" ht="12.75">
      <c r="N348" s="433"/>
    </row>
    <row r="349" ht="12.75">
      <c r="N349" s="433"/>
    </row>
    <row r="350" ht="12.75">
      <c r="N350" s="433"/>
    </row>
    <row r="351" ht="12.75">
      <c r="N351" s="433"/>
    </row>
    <row r="352" ht="12.75">
      <c r="N352" s="433"/>
    </row>
    <row r="353" ht="12.75">
      <c r="N353" s="433"/>
    </row>
    <row r="354" ht="12.75">
      <c r="N354" s="433"/>
    </row>
    <row r="355" ht="12.75">
      <c r="N355" s="433"/>
    </row>
    <row r="356" ht="12.75">
      <c r="N356" s="433"/>
    </row>
    <row r="357" ht="12.75">
      <c r="N357" s="433"/>
    </row>
    <row r="358" ht="12.75">
      <c r="N358" s="433"/>
    </row>
    <row r="359" ht="12.75">
      <c r="N359" s="433"/>
    </row>
    <row r="360" ht="12.75">
      <c r="N360" s="433"/>
    </row>
    <row r="361" ht="12.75">
      <c r="N361" s="433"/>
    </row>
    <row r="362" ht="12.75">
      <c r="N362" s="433"/>
    </row>
    <row r="363" ht="12.75">
      <c r="N363" s="433"/>
    </row>
    <row r="364" ht="12.75">
      <c r="N364" s="433"/>
    </row>
    <row r="365" ht="12.75">
      <c r="N365" s="433"/>
    </row>
    <row r="366" ht="12.75">
      <c r="N366" s="433"/>
    </row>
    <row r="367" ht="12.75">
      <c r="N367" s="433"/>
    </row>
    <row r="368" ht="12.75">
      <c r="N368" s="433"/>
    </row>
    <row r="369" ht="12.75">
      <c r="N369" s="433"/>
    </row>
    <row r="370" ht="12.75">
      <c r="N370" s="433"/>
    </row>
    <row r="371" ht="12.75">
      <c r="N371" s="433"/>
    </row>
    <row r="372" ht="12.75">
      <c r="N372" s="433"/>
    </row>
    <row r="373" ht="12.75">
      <c r="N373" s="433"/>
    </row>
    <row r="374" ht="12.75">
      <c r="N374" s="433"/>
    </row>
    <row r="375" ht="12.75">
      <c r="N375" s="433"/>
    </row>
    <row r="376" ht="12.75">
      <c r="N376" s="433"/>
    </row>
    <row r="377" ht="12.75">
      <c r="N377" s="433"/>
    </row>
    <row r="378" ht="12.75">
      <c r="N378" s="433"/>
    </row>
    <row r="379" ht="12.75">
      <c r="N379" s="433"/>
    </row>
    <row r="380" ht="12.75">
      <c r="N380" s="433"/>
    </row>
    <row r="381" ht="12.75">
      <c r="N381" s="433"/>
    </row>
    <row r="382" ht="12.75">
      <c r="N382" s="433"/>
    </row>
    <row r="383" ht="12.75">
      <c r="N383" s="433"/>
    </row>
    <row r="384" ht="12.75">
      <c r="N384" s="433"/>
    </row>
    <row r="385" ht="12.75">
      <c r="N385" s="433"/>
    </row>
    <row r="386" ht="12.75">
      <c r="N386" s="433"/>
    </row>
    <row r="387" ht="12.75">
      <c r="N387" s="433"/>
    </row>
    <row r="388" ht="12.75">
      <c r="N388" s="433"/>
    </row>
    <row r="389" ht="12.75">
      <c r="N389" s="433"/>
    </row>
    <row r="390" ht="12.75">
      <c r="N390" s="433"/>
    </row>
    <row r="391" ht="12.75">
      <c r="N391" s="433"/>
    </row>
    <row r="392" ht="12.75">
      <c r="N392" s="433"/>
    </row>
    <row r="393" ht="12.75">
      <c r="N393" s="433"/>
    </row>
    <row r="394" ht="12.75">
      <c r="N394" s="433"/>
    </row>
    <row r="395" ht="12.75">
      <c r="N395" s="433"/>
    </row>
    <row r="396" ht="12.75">
      <c r="N396" s="433"/>
    </row>
    <row r="397" ht="12.75">
      <c r="N397" s="433"/>
    </row>
    <row r="398" ht="12.75">
      <c r="N398" s="433"/>
    </row>
    <row r="399" ht="12.75">
      <c r="N399" s="433"/>
    </row>
    <row r="400" ht="12.75">
      <c r="N400" s="433"/>
    </row>
    <row r="401" ht="12.75">
      <c r="N401" s="433"/>
    </row>
    <row r="402" ht="12.75">
      <c r="N402" s="433"/>
    </row>
    <row r="403" ht="12.75">
      <c r="N403" s="433"/>
    </row>
    <row r="404" ht="12.75">
      <c r="N404" s="433"/>
    </row>
    <row r="405" ht="12.75">
      <c r="N405" s="433"/>
    </row>
    <row r="406" ht="12.75">
      <c r="N406" s="433"/>
    </row>
    <row r="407" ht="12.75">
      <c r="N407" s="433"/>
    </row>
    <row r="408" ht="12.75">
      <c r="N408" s="433"/>
    </row>
    <row r="409" ht="12.75">
      <c r="N409" s="433"/>
    </row>
    <row r="410" ht="12.75">
      <c r="N410" s="433"/>
    </row>
    <row r="411" ht="12.75">
      <c r="N411" s="433"/>
    </row>
    <row r="412" ht="12.75">
      <c r="N412" s="433"/>
    </row>
    <row r="413" ht="12.75">
      <c r="N413" s="433"/>
    </row>
    <row r="414" ht="12.75">
      <c r="N414" s="433"/>
    </row>
    <row r="415" ht="12.75">
      <c r="N415" s="433"/>
    </row>
    <row r="416" ht="12.75">
      <c r="N416" s="433"/>
    </row>
    <row r="417" ht="12.75">
      <c r="N417" s="433"/>
    </row>
    <row r="418" ht="12.75">
      <c r="N418" s="433"/>
    </row>
    <row r="419" ht="12.75">
      <c r="N419" s="433"/>
    </row>
    <row r="420" ht="12.75">
      <c r="N420" s="433"/>
    </row>
    <row r="421" ht="12.75">
      <c r="N421" s="433"/>
    </row>
    <row r="422" ht="12.75">
      <c r="N422" s="433"/>
    </row>
    <row r="423" ht="12.75">
      <c r="N423" s="433"/>
    </row>
    <row r="424" ht="12.75">
      <c r="N424" s="433"/>
    </row>
    <row r="425" ht="12.75">
      <c r="N425" s="433"/>
    </row>
    <row r="426" ht="12.75">
      <c r="N426" s="433"/>
    </row>
    <row r="427" ht="12.75">
      <c r="N427" s="433"/>
    </row>
    <row r="428" ht="12.75">
      <c r="N428" s="433"/>
    </row>
    <row r="429" ht="12.75">
      <c r="N429" s="433"/>
    </row>
    <row r="430" ht="12.75">
      <c r="N430" s="433"/>
    </row>
    <row r="431" ht="12.75">
      <c r="N431" s="433"/>
    </row>
    <row r="432" ht="12.75">
      <c r="N432" s="433"/>
    </row>
    <row r="433" ht="12.75">
      <c r="N433" s="433"/>
    </row>
    <row r="434" ht="12.75">
      <c r="N434" s="433"/>
    </row>
    <row r="435" ht="12.75">
      <c r="N435" s="433"/>
    </row>
    <row r="436" ht="12.75">
      <c r="N436" s="433"/>
    </row>
    <row r="437" ht="12.75">
      <c r="N437" s="433"/>
    </row>
    <row r="438" ht="12.75">
      <c r="N438" s="433"/>
    </row>
    <row r="439" ht="12.75">
      <c r="N439" s="433"/>
    </row>
    <row r="440" ht="12.75">
      <c r="N440" s="433"/>
    </row>
    <row r="441" ht="12.75">
      <c r="N441" s="433"/>
    </row>
    <row r="442" ht="12.75">
      <c r="N442" s="433"/>
    </row>
    <row r="443" ht="12.75">
      <c r="N443" s="433"/>
    </row>
    <row r="444" ht="12.75">
      <c r="N444" s="433"/>
    </row>
    <row r="445" ht="12.75">
      <c r="N445" s="433"/>
    </row>
    <row r="446" ht="12.75">
      <c r="N446" s="433"/>
    </row>
    <row r="447" ht="12.75">
      <c r="N447" s="433"/>
    </row>
    <row r="448" ht="12.75">
      <c r="N448" s="433"/>
    </row>
    <row r="449" ht="12.75">
      <c r="N449" s="433"/>
    </row>
    <row r="450" ht="12.75">
      <c r="N450" s="433"/>
    </row>
    <row r="451" ht="12.75">
      <c r="N451" s="433"/>
    </row>
    <row r="452" ht="12.75">
      <c r="N452" s="433"/>
    </row>
    <row r="453" ht="12.75">
      <c r="N453" s="433"/>
    </row>
    <row r="454" ht="12.75">
      <c r="N454" s="433"/>
    </row>
    <row r="455" ht="12.75">
      <c r="N455" s="433"/>
    </row>
    <row r="456" ht="12.75">
      <c r="N456" s="433"/>
    </row>
    <row r="457" ht="12.75">
      <c r="N457" s="433"/>
    </row>
    <row r="458" ht="12.75">
      <c r="N458" s="433"/>
    </row>
    <row r="459" ht="12.75">
      <c r="N459" s="433"/>
    </row>
    <row r="460" ht="12.75">
      <c r="N460" s="433"/>
    </row>
    <row r="461" ht="12.75">
      <c r="N461" s="433"/>
    </row>
    <row r="462" ht="12.75">
      <c r="N462" s="433"/>
    </row>
    <row r="463" ht="12.75">
      <c r="N463" s="433"/>
    </row>
    <row r="464" ht="12.75">
      <c r="N464" s="433"/>
    </row>
    <row r="465" ht="12.75">
      <c r="N465" s="433"/>
    </row>
    <row r="466" ht="12.75">
      <c r="N466" s="433"/>
    </row>
    <row r="467" ht="12.75">
      <c r="N467" s="433"/>
    </row>
    <row r="468" ht="12.75">
      <c r="N468" s="433"/>
    </row>
    <row r="469" ht="12.75">
      <c r="N469" s="433"/>
    </row>
    <row r="470" ht="12.75">
      <c r="N470" s="433"/>
    </row>
    <row r="471" ht="12.75">
      <c r="N471" s="433"/>
    </row>
    <row r="472" ht="12.75">
      <c r="N472" s="433"/>
    </row>
    <row r="473" ht="12.75">
      <c r="N473" s="433"/>
    </row>
    <row r="474" ht="12.75">
      <c r="N474" s="433"/>
    </row>
    <row r="475" ht="12.75">
      <c r="N475" s="433"/>
    </row>
    <row r="476" ht="12.75">
      <c r="N476" s="433"/>
    </row>
    <row r="477" ht="12.75">
      <c r="N477" s="433"/>
    </row>
    <row r="478" ht="12.75">
      <c r="N478" s="433"/>
    </row>
    <row r="479" ht="12.75">
      <c r="N479" s="433"/>
    </row>
    <row r="480" ht="12.75">
      <c r="N480" s="433"/>
    </row>
    <row r="481" ht="12.75">
      <c r="N481" s="433"/>
    </row>
    <row r="482" ht="12.75">
      <c r="N482" s="433"/>
    </row>
    <row r="483" ht="12.75">
      <c r="N483" s="433"/>
    </row>
    <row r="484" ht="12.75">
      <c r="N484" s="433"/>
    </row>
    <row r="485" ht="12.75">
      <c r="N485" s="433"/>
    </row>
    <row r="486" ht="12.75">
      <c r="N486" s="433"/>
    </row>
    <row r="487" ht="12.75">
      <c r="N487" s="433"/>
    </row>
    <row r="488" ht="12.75">
      <c r="N488" s="433"/>
    </row>
    <row r="489" ht="12.75">
      <c r="N489" s="433"/>
    </row>
    <row r="490" ht="12.75">
      <c r="N490" s="433"/>
    </row>
    <row r="491" ht="12.75">
      <c r="N491" s="433"/>
    </row>
    <row r="492" ht="12.75">
      <c r="N492" s="433"/>
    </row>
    <row r="493" ht="12.75">
      <c r="N493" s="433"/>
    </row>
    <row r="494" ht="12.75">
      <c r="N494" s="433"/>
    </row>
    <row r="495" ht="12.75">
      <c r="N495" s="433"/>
    </row>
    <row r="496" ht="12.75">
      <c r="N496" s="433"/>
    </row>
    <row r="497" ht="12.75">
      <c r="N497" s="433"/>
    </row>
    <row r="498" ht="12.75">
      <c r="N498" s="433"/>
    </row>
    <row r="499" ht="12.75">
      <c r="N499" s="433"/>
    </row>
    <row r="500" ht="12.75">
      <c r="N500" s="433"/>
    </row>
    <row r="501" ht="12.75">
      <c r="N501" s="433"/>
    </row>
    <row r="502" ht="12.75">
      <c r="N502" s="433"/>
    </row>
    <row r="503" ht="12.75">
      <c r="N503" s="433"/>
    </row>
    <row r="504" ht="12.75">
      <c r="N504" s="433"/>
    </row>
    <row r="505" ht="12.75">
      <c r="N505" s="433"/>
    </row>
    <row r="506" ht="12.75">
      <c r="N506" s="433"/>
    </row>
    <row r="507" ht="12.75">
      <c r="N507" s="433"/>
    </row>
    <row r="508" ht="12.75">
      <c r="N508" s="433"/>
    </row>
    <row r="509" ht="12.75">
      <c r="N509" s="433"/>
    </row>
    <row r="510" ht="12.75">
      <c r="N510" s="433"/>
    </row>
    <row r="511" ht="12.75">
      <c r="N511" s="433"/>
    </row>
    <row r="512" ht="12.75">
      <c r="N512" s="433"/>
    </row>
    <row r="513" ht="12.75">
      <c r="N513" s="433"/>
    </row>
    <row r="514" ht="12.75">
      <c r="N514" s="433"/>
    </row>
    <row r="515" ht="12.75">
      <c r="N515" s="433"/>
    </row>
    <row r="516" ht="12.75">
      <c r="N516" s="433"/>
    </row>
    <row r="517" ht="12.75">
      <c r="N517" s="433"/>
    </row>
    <row r="518" ht="12.75">
      <c r="N518" s="433"/>
    </row>
    <row r="519" ht="12.75">
      <c r="N519" s="433"/>
    </row>
    <row r="520" ht="12.75">
      <c r="N520" s="433"/>
    </row>
    <row r="521" ht="12.75">
      <c r="N521" s="433"/>
    </row>
    <row r="522" ht="12.75">
      <c r="N522" s="433"/>
    </row>
    <row r="523" ht="12.75">
      <c r="N523" s="433"/>
    </row>
    <row r="524" ht="12.75">
      <c r="N524" s="433"/>
    </row>
    <row r="525" ht="12.75">
      <c r="N525" s="433"/>
    </row>
    <row r="526" ht="12.75">
      <c r="N526" s="433"/>
    </row>
    <row r="527" ht="12.75">
      <c r="N527" s="433"/>
    </row>
    <row r="528" ht="12.75">
      <c r="N528" s="433"/>
    </row>
    <row r="529" ht="12.75">
      <c r="N529" s="433"/>
    </row>
    <row r="530" ht="12.75">
      <c r="N530" s="433"/>
    </row>
    <row r="531" ht="12.75">
      <c r="N531" s="433"/>
    </row>
    <row r="532" ht="12.75">
      <c r="N532" s="433"/>
    </row>
    <row r="533" ht="12.75">
      <c r="N533" s="433"/>
    </row>
    <row r="534" ht="12.75">
      <c r="N534" s="433"/>
    </row>
    <row r="535" ht="12.75">
      <c r="N535" s="433"/>
    </row>
    <row r="536" ht="12.75">
      <c r="N536" s="433"/>
    </row>
    <row r="537" ht="12.75">
      <c r="N537" s="433"/>
    </row>
    <row r="538" ht="12.75">
      <c r="N538" s="433"/>
    </row>
    <row r="539" ht="12.75">
      <c r="N539" s="433"/>
    </row>
    <row r="540" ht="12.75">
      <c r="N540" s="433"/>
    </row>
    <row r="541" ht="12.75">
      <c r="N541" s="433"/>
    </row>
    <row r="542" ht="12.75">
      <c r="N542" s="433"/>
    </row>
    <row r="543" ht="12.75">
      <c r="N543" s="433"/>
    </row>
    <row r="544" ht="12.75">
      <c r="N544" s="433"/>
    </row>
    <row r="545" ht="12.75">
      <c r="N545" s="433"/>
    </row>
    <row r="546" ht="12.75">
      <c r="N546" s="433"/>
    </row>
    <row r="547" ht="12.75">
      <c r="N547" s="433"/>
    </row>
    <row r="548" ht="12.75">
      <c r="N548" s="433"/>
    </row>
    <row r="549" ht="12.75">
      <c r="N549" s="433"/>
    </row>
    <row r="550" ht="12.75">
      <c r="N550" s="433"/>
    </row>
    <row r="551" ht="12.75">
      <c r="N551" s="433"/>
    </row>
    <row r="552" ht="12.75">
      <c r="N552" s="433"/>
    </row>
    <row r="553" ht="12.75">
      <c r="N553" s="433"/>
    </row>
    <row r="554" ht="12.75">
      <c r="N554" s="433"/>
    </row>
    <row r="555" ht="12.75">
      <c r="N555" s="433"/>
    </row>
    <row r="556" ht="12.75">
      <c r="N556" s="433"/>
    </row>
    <row r="557" ht="12.75">
      <c r="N557" s="433"/>
    </row>
    <row r="558" ht="12.75">
      <c r="N558" s="433"/>
    </row>
    <row r="559" ht="12.75">
      <c r="N559" s="433"/>
    </row>
    <row r="560" ht="12.75">
      <c r="N560" s="433"/>
    </row>
    <row r="561" ht="12.75">
      <c r="N561" s="433"/>
    </row>
    <row r="562" ht="12.75">
      <c r="N562" s="433"/>
    </row>
    <row r="563" ht="12.75">
      <c r="N563" s="433"/>
    </row>
    <row r="564" ht="12.75">
      <c r="N564" s="433"/>
    </row>
    <row r="565" ht="12.75">
      <c r="N565" s="433"/>
    </row>
    <row r="566" ht="12.75">
      <c r="N566" s="433"/>
    </row>
    <row r="567" ht="12.75">
      <c r="N567" s="433"/>
    </row>
    <row r="568" ht="12.75">
      <c r="N568" s="433"/>
    </row>
    <row r="569" ht="12.75">
      <c r="N569" s="433"/>
    </row>
    <row r="570" ht="12.75">
      <c r="N570" s="433"/>
    </row>
    <row r="571" ht="12.75">
      <c r="N571" s="433"/>
    </row>
    <row r="572" ht="12.75">
      <c r="N572" s="433"/>
    </row>
    <row r="573" ht="12.75">
      <c r="N573" s="433"/>
    </row>
    <row r="574" ht="12.75">
      <c r="N574" s="433"/>
    </row>
    <row r="575" ht="12.75">
      <c r="N575" s="433"/>
    </row>
    <row r="576" ht="12.75">
      <c r="N576" s="433"/>
    </row>
    <row r="577" ht="12.75">
      <c r="N577" s="433"/>
    </row>
    <row r="578" ht="12.75">
      <c r="N578" s="433"/>
    </row>
    <row r="579" ht="12.75">
      <c r="N579" s="433"/>
    </row>
    <row r="580" ht="12.75">
      <c r="N580" s="433"/>
    </row>
    <row r="581" ht="12.75">
      <c r="N581" s="433"/>
    </row>
    <row r="582" ht="12.75">
      <c r="N582" s="433"/>
    </row>
    <row r="583" ht="12.75">
      <c r="N583" s="433"/>
    </row>
    <row r="584" ht="12.75">
      <c r="N584" s="433"/>
    </row>
    <row r="585" ht="12.75">
      <c r="N585" s="433"/>
    </row>
    <row r="586" ht="12.75">
      <c r="N586" s="433"/>
    </row>
    <row r="587" ht="12.75">
      <c r="N587" s="433"/>
    </row>
    <row r="588" ht="12.75">
      <c r="N588" s="433"/>
    </row>
    <row r="589" ht="12.75">
      <c r="N589" s="433"/>
    </row>
    <row r="590" ht="12.75">
      <c r="N590" s="433"/>
    </row>
    <row r="591" ht="12.75">
      <c r="N591" s="433"/>
    </row>
    <row r="592" ht="12.75">
      <c r="N592" s="433"/>
    </row>
    <row r="593" ht="12.75">
      <c r="N593" s="433"/>
    </row>
    <row r="594" ht="12.75">
      <c r="N594" s="433"/>
    </row>
    <row r="595" ht="12.75">
      <c r="N595" s="433"/>
    </row>
    <row r="596" ht="12.75">
      <c r="N596" s="433"/>
    </row>
    <row r="597" ht="12.75">
      <c r="N597" s="433"/>
    </row>
    <row r="598" ht="12.75">
      <c r="N598" s="433"/>
    </row>
    <row r="599" ht="12.75">
      <c r="N599" s="433"/>
    </row>
    <row r="600" ht="12.75">
      <c r="N600" s="433"/>
    </row>
    <row r="601" ht="12.75">
      <c r="N601" s="433"/>
    </row>
    <row r="602" ht="12.75">
      <c r="N602" s="433"/>
    </row>
    <row r="603" ht="12.75">
      <c r="N603" s="433"/>
    </row>
    <row r="604" ht="12.75">
      <c r="N604" s="433"/>
    </row>
    <row r="605" ht="12.75">
      <c r="N605" s="433"/>
    </row>
    <row r="606" ht="12.75">
      <c r="N606" s="433"/>
    </row>
    <row r="607" ht="12.75">
      <c r="N607" s="433"/>
    </row>
    <row r="608" ht="12.75">
      <c r="N608" s="433"/>
    </row>
    <row r="609" ht="12.75">
      <c r="N609" s="433"/>
    </row>
    <row r="610" ht="12.75">
      <c r="N610" s="433"/>
    </row>
    <row r="611" ht="12.75">
      <c r="N611" s="433"/>
    </row>
    <row r="612" ht="12.75">
      <c r="N612" s="433"/>
    </row>
    <row r="613" ht="12.75">
      <c r="N613" s="433"/>
    </row>
    <row r="614" ht="12.75">
      <c r="N614" s="433"/>
    </row>
    <row r="615" ht="12.75">
      <c r="N615" s="433"/>
    </row>
    <row r="616" ht="12.75">
      <c r="N616" s="433"/>
    </row>
    <row r="617" ht="12.75">
      <c r="N617" s="433"/>
    </row>
    <row r="618" ht="12.75">
      <c r="N618" s="433"/>
    </row>
    <row r="619" ht="12.75">
      <c r="N619" s="433"/>
    </row>
    <row r="620" ht="12.75">
      <c r="N620" s="433"/>
    </row>
    <row r="621" ht="12.75">
      <c r="N621" s="433"/>
    </row>
    <row r="622" ht="12.75">
      <c r="N622" s="433"/>
    </row>
    <row r="623" ht="12.75">
      <c r="N623" s="433"/>
    </row>
    <row r="624" ht="12.75">
      <c r="N624" s="433"/>
    </row>
    <row r="625" ht="12.75">
      <c r="N625" s="433"/>
    </row>
    <row r="626" ht="12.75">
      <c r="N626" s="433"/>
    </row>
    <row r="627" ht="12.75">
      <c r="N627" s="433"/>
    </row>
    <row r="628" ht="12.75">
      <c r="N628" s="433"/>
    </row>
    <row r="629" ht="12.75">
      <c r="N629" s="433"/>
    </row>
    <row r="630" ht="12.75">
      <c r="N630" s="433"/>
    </row>
    <row r="631" ht="12.75">
      <c r="N631" s="433"/>
    </row>
    <row r="632" ht="12.75">
      <c r="N632" s="433"/>
    </row>
    <row r="633" ht="12.75">
      <c r="N633" s="433"/>
    </row>
    <row r="634" ht="12.75">
      <c r="N634" s="433"/>
    </row>
    <row r="635" ht="12.75">
      <c r="N635" s="433"/>
    </row>
    <row r="636" ht="12.75">
      <c r="N636" s="433"/>
    </row>
    <row r="637" ht="12.75">
      <c r="N637" s="433"/>
    </row>
    <row r="638" ht="12.75">
      <c r="N638" s="433"/>
    </row>
    <row r="639" ht="12.75">
      <c r="N639" s="433"/>
    </row>
    <row r="640" ht="12.75">
      <c r="N640" s="433"/>
    </row>
    <row r="641" ht="12.75">
      <c r="N641" s="433"/>
    </row>
    <row r="642" ht="12.75">
      <c r="N642" s="433"/>
    </row>
    <row r="643" ht="12.75">
      <c r="N643" s="433"/>
    </row>
    <row r="644" ht="12.75">
      <c r="N644" s="433"/>
    </row>
    <row r="645" ht="12.75">
      <c r="N645" s="433"/>
    </row>
    <row r="646" ht="12.75">
      <c r="N646" s="433"/>
    </row>
    <row r="647" ht="12.75">
      <c r="N647" s="433"/>
    </row>
    <row r="648" ht="12.75">
      <c r="N648" s="433"/>
    </row>
    <row r="649" ht="12.75">
      <c r="N649" s="433"/>
    </row>
    <row r="650" ht="12.75">
      <c r="N650" s="433"/>
    </row>
    <row r="651" ht="12.75">
      <c r="N651" s="433"/>
    </row>
    <row r="652" ht="12.75">
      <c r="N652" s="433"/>
    </row>
    <row r="653" ht="12.75">
      <c r="N653" s="433"/>
    </row>
    <row r="654" ht="12.75">
      <c r="N654" s="433"/>
    </row>
    <row r="655" ht="12.75">
      <c r="N655" s="433"/>
    </row>
    <row r="656" ht="12.75">
      <c r="N656" s="433"/>
    </row>
    <row r="657" ht="12.75">
      <c r="N657" s="433"/>
    </row>
    <row r="658" ht="12.75">
      <c r="N658" s="433"/>
    </row>
    <row r="659" ht="12.75">
      <c r="N659" s="433"/>
    </row>
    <row r="660" ht="12.75">
      <c r="N660" s="433"/>
    </row>
    <row r="661" ht="12.75">
      <c r="N661" s="433"/>
    </row>
    <row r="662" ht="12.75">
      <c r="N662" s="433"/>
    </row>
    <row r="663" ht="12.75">
      <c r="N663" s="433"/>
    </row>
    <row r="664" ht="12.75">
      <c r="N664" s="433"/>
    </row>
    <row r="665" ht="12.75">
      <c r="N665" s="433"/>
    </row>
    <row r="666" ht="12.75">
      <c r="N666" s="433"/>
    </row>
    <row r="667" ht="12.75">
      <c r="N667" s="433"/>
    </row>
    <row r="668" ht="12.75">
      <c r="N668" s="433"/>
    </row>
    <row r="669" ht="12.75">
      <c r="N669" s="433"/>
    </row>
    <row r="670" ht="12.75">
      <c r="N670" s="433"/>
    </row>
    <row r="671" ht="12.75">
      <c r="N671" s="433"/>
    </row>
    <row r="672" ht="12.75">
      <c r="N672" s="433"/>
    </row>
    <row r="673" ht="12.75">
      <c r="N673" s="433"/>
    </row>
    <row r="674" ht="12.75">
      <c r="N674" s="433"/>
    </row>
    <row r="675" ht="12.75">
      <c r="N675" s="433"/>
    </row>
    <row r="676" ht="12.75">
      <c r="N676" s="433"/>
    </row>
    <row r="677" ht="12.75">
      <c r="N677" s="433"/>
    </row>
    <row r="678" ht="12.75">
      <c r="N678" s="433"/>
    </row>
    <row r="679" ht="12.75">
      <c r="N679" s="433"/>
    </row>
    <row r="680" ht="12.75">
      <c r="N680" s="433"/>
    </row>
    <row r="681" ht="12.75">
      <c r="N681" s="433"/>
    </row>
    <row r="682" ht="12.75">
      <c r="N682" s="433"/>
    </row>
    <row r="683" ht="12.75">
      <c r="N683" s="433"/>
    </row>
    <row r="684" ht="12.75">
      <c r="N684" s="433"/>
    </row>
    <row r="685" ht="12.75">
      <c r="N685" s="433"/>
    </row>
    <row r="686" ht="12.75">
      <c r="N686" s="433"/>
    </row>
    <row r="687" ht="12.75">
      <c r="N687" s="433"/>
    </row>
    <row r="688" ht="12.75">
      <c r="N688" s="433"/>
    </row>
    <row r="689" ht="12.75">
      <c r="N689" s="433"/>
    </row>
    <row r="690" ht="12.75">
      <c r="N690" s="433"/>
    </row>
    <row r="691" ht="12.75">
      <c r="N691" s="433"/>
    </row>
    <row r="692" ht="12.75">
      <c r="N692" s="433"/>
    </row>
    <row r="693" ht="12.75">
      <c r="N693" s="433"/>
    </row>
    <row r="694" ht="12.75">
      <c r="N694" s="433"/>
    </row>
    <row r="695" ht="12.75">
      <c r="N695" s="433"/>
    </row>
    <row r="696" ht="12.75">
      <c r="N696" s="433"/>
    </row>
    <row r="697" ht="12.75">
      <c r="N697" s="433"/>
    </row>
    <row r="698" ht="12.75">
      <c r="N698" s="433"/>
    </row>
    <row r="699" ht="12.75">
      <c r="N699" s="433"/>
    </row>
    <row r="700" ht="12.75">
      <c r="N700" s="433"/>
    </row>
    <row r="701" ht="12.75">
      <c r="N701" s="433"/>
    </row>
    <row r="702" ht="12.75">
      <c r="N702" s="433"/>
    </row>
    <row r="703" ht="12.75">
      <c r="N703" s="433"/>
    </row>
    <row r="704" ht="12.75">
      <c r="N704" s="433"/>
    </row>
    <row r="705" ht="12.75">
      <c r="N705" s="433"/>
    </row>
    <row r="706" ht="12.75">
      <c r="N706" s="433"/>
    </row>
    <row r="707" ht="12.75">
      <c r="N707" s="433"/>
    </row>
    <row r="708" ht="12.75">
      <c r="N708" s="433"/>
    </row>
    <row r="709" ht="12.75">
      <c r="N709" s="433"/>
    </row>
    <row r="710" ht="12.75">
      <c r="N710" s="433"/>
    </row>
    <row r="711" ht="12.75">
      <c r="N711" s="433"/>
    </row>
    <row r="712" ht="12.75">
      <c r="N712" s="433"/>
    </row>
    <row r="713" ht="12.75">
      <c r="N713" s="433"/>
    </row>
    <row r="714" ht="12.75">
      <c r="N714" s="433"/>
    </row>
    <row r="715" ht="12.75">
      <c r="N715" s="433"/>
    </row>
    <row r="716" ht="12.75">
      <c r="N716" s="433"/>
    </row>
    <row r="717" ht="12.75">
      <c r="N717" s="433"/>
    </row>
    <row r="718" ht="12.75">
      <c r="N718" s="433"/>
    </row>
    <row r="719" ht="12.75">
      <c r="N719" s="433"/>
    </row>
    <row r="720" ht="12.75">
      <c r="N720" s="433"/>
    </row>
    <row r="721" ht="12.75">
      <c r="N721" s="433"/>
    </row>
    <row r="722" ht="12.75">
      <c r="N722" s="433"/>
    </row>
    <row r="723" ht="12.75">
      <c r="N723" s="433"/>
    </row>
    <row r="724" ht="12.75">
      <c r="N724" s="433"/>
    </row>
    <row r="725" ht="12.75">
      <c r="N725" s="433"/>
    </row>
    <row r="726" ht="12.75">
      <c r="N726" s="433"/>
    </row>
    <row r="727" ht="12.75">
      <c r="N727" s="433"/>
    </row>
    <row r="728" ht="12.75">
      <c r="N728" s="433"/>
    </row>
    <row r="729" ht="12.75">
      <c r="N729" s="433"/>
    </row>
    <row r="730" ht="12.75">
      <c r="N730" s="433"/>
    </row>
    <row r="731" ht="12.75">
      <c r="N731" s="433"/>
    </row>
    <row r="732" ht="12.75">
      <c r="N732" s="433"/>
    </row>
    <row r="733" ht="12.75">
      <c r="N733" s="433"/>
    </row>
    <row r="734" ht="12.75">
      <c r="N734" s="433"/>
    </row>
    <row r="735" ht="12.75">
      <c r="N735" s="433"/>
    </row>
    <row r="736" ht="12.75">
      <c r="N736" s="433"/>
    </row>
    <row r="737" ht="12.75">
      <c r="N737" s="433"/>
    </row>
    <row r="738" ht="12.75">
      <c r="N738" s="433"/>
    </row>
    <row r="739" ht="12.75">
      <c r="N739" s="433"/>
    </row>
    <row r="740" ht="12.75">
      <c r="N740" s="433"/>
    </row>
    <row r="741" ht="12.75">
      <c r="N741" s="433"/>
    </row>
    <row r="742" ht="12.75">
      <c r="N742" s="433"/>
    </row>
    <row r="743" ht="12.75">
      <c r="N743" s="433"/>
    </row>
    <row r="744" ht="12.75">
      <c r="N744" s="433"/>
    </row>
    <row r="745" ht="12.75">
      <c r="N745" s="433"/>
    </row>
    <row r="746" ht="12.75">
      <c r="N746" s="433"/>
    </row>
    <row r="747" ht="12.75">
      <c r="N747" s="433"/>
    </row>
    <row r="748" ht="12.75">
      <c r="N748" s="433"/>
    </row>
    <row r="749" ht="12.75">
      <c r="N749" s="433"/>
    </row>
    <row r="750" ht="12.75">
      <c r="N750" s="433"/>
    </row>
    <row r="751" ht="12.75">
      <c r="N751" s="433"/>
    </row>
    <row r="752" ht="12.75">
      <c r="N752" s="433"/>
    </row>
    <row r="753" ht="12.75">
      <c r="N753" s="433"/>
    </row>
    <row r="754" ht="12.75">
      <c r="N754" s="433"/>
    </row>
    <row r="755" ht="12.75">
      <c r="N755" s="433"/>
    </row>
    <row r="756" ht="12.75">
      <c r="N756" s="433"/>
    </row>
    <row r="757" ht="12.75">
      <c r="N757" s="433"/>
    </row>
    <row r="758" ht="12.75">
      <c r="N758" s="433"/>
    </row>
    <row r="759" ht="12.75">
      <c r="N759" s="433"/>
    </row>
    <row r="760" ht="12.75">
      <c r="N760" s="433"/>
    </row>
    <row r="761" ht="12.75">
      <c r="N761" s="433"/>
    </row>
    <row r="762" ht="12.75">
      <c r="N762" s="433"/>
    </row>
    <row r="763" ht="12.75">
      <c r="N763" s="433"/>
    </row>
    <row r="764" ht="12.75">
      <c r="N764" s="433"/>
    </row>
    <row r="765" ht="12.75">
      <c r="N765" s="433"/>
    </row>
    <row r="766" ht="12.75">
      <c r="N766" s="433"/>
    </row>
    <row r="767" ht="12.75">
      <c r="N767" s="433"/>
    </row>
    <row r="768" ht="12.75">
      <c r="N768" s="433"/>
    </row>
    <row r="769" ht="12.75">
      <c r="N769" s="433"/>
    </row>
    <row r="770" ht="12.75">
      <c r="N770" s="433"/>
    </row>
    <row r="771" ht="12.75">
      <c r="N771" s="433"/>
    </row>
    <row r="772" ht="12.75">
      <c r="N772" s="433"/>
    </row>
    <row r="773" ht="12.75">
      <c r="N773" s="433"/>
    </row>
    <row r="774" ht="12.75">
      <c r="N774" s="433"/>
    </row>
    <row r="775" ht="12.75">
      <c r="N775" s="433"/>
    </row>
    <row r="776" ht="12.75">
      <c r="N776" s="433"/>
    </row>
    <row r="777" ht="12.75">
      <c r="N777" s="433"/>
    </row>
    <row r="778" ht="12.75">
      <c r="N778" s="433"/>
    </row>
    <row r="779" ht="12.75">
      <c r="N779" s="433"/>
    </row>
    <row r="780" ht="12.75">
      <c r="N780" s="433"/>
    </row>
    <row r="781" ht="12.75">
      <c r="N781" s="433"/>
    </row>
    <row r="782" ht="12.75">
      <c r="N782" s="433"/>
    </row>
    <row r="783" ht="12.75">
      <c r="N783" s="433"/>
    </row>
    <row r="784" ht="12.75">
      <c r="N784" s="433"/>
    </row>
    <row r="785" ht="12.75">
      <c r="N785" s="433"/>
    </row>
    <row r="786" ht="12.75">
      <c r="N786" s="433"/>
    </row>
    <row r="787" ht="12.75">
      <c r="N787" s="433"/>
    </row>
    <row r="788" ht="12.75">
      <c r="N788" s="433"/>
    </row>
    <row r="789" ht="12.75">
      <c r="N789" s="433"/>
    </row>
    <row r="790" ht="12.75">
      <c r="N790" s="433"/>
    </row>
    <row r="791" ht="12.75">
      <c r="N791" s="433"/>
    </row>
    <row r="792" ht="12.75">
      <c r="N792" s="433"/>
    </row>
    <row r="793" ht="12.75">
      <c r="N793" s="433"/>
    </row>
    <row r="794" ht="12.75">
      <c r="N794" s="433"/>
    </row>
    <row r="795" ht="12.75">
      <c r="N795" s="433"/>
    </row>
    <row r="796" ht="12.75">
      <c r="N796" s="433"/>
    </row>
    <row r="797" ht="12.75">
      <c r="N797" s="433"/>
    </row>
    <row r="798" ht="12.75">
      <c r="N798" s="433"/>
    </row>
    <row r="799" ht="12.75">
      <c r="N799" s="433"/>
    </row>
    <row r="800" ht="12.75">
      <c r="N800" s="433"/>
    </row>
    <row r="801" ht="12.75">
      <c r="N801" s="433"/>
    </row>
    <row r="802" ht="12.75">
      <c r="N802" s="433"/>
    </row>
    <row r="803" ht="12.75">
      <c r="N803" s="433"/>
    </row>
    <row r="804" ht="12.75">
      <c r="N804" s="433"/>
    </row>
    <row r="805" ht="12.75">
      <c r="N805" s="433"/>
    </row>
    <row r="806" ht="12.75">
      <c r="N806" s="433"/>
    </row>
    <row r="807" ht="12.75">
      <c r="N807" s="433"/>
    </row>
    <row r="808" ht="12.75">
      <c r="N808" s="433"/>
    </row>
    <row r="809" ht="12.75">
      <c r="N809" s="433"/>
    </row>
    <row r="810" ht="12.75">
      <c r="N810" s="433"/>
    </row>
    <row r="811" ht="12.75">
      <c r="N811" s="433"/>
    </row>
    <row r="812" ht="12.75">
      <c r="N812" s="433"/>
    </row>
    <row r="813" ht="12.75">
      <c r="N813" s="433"/>
    </row>
    <row r="814" ht="12.75">
      <c r="N814" s="433"/>
    </row>
    <row r="815" ht="12.75">
      <c r="N815" s="433"/>
    </row>
    <row r="816" ht="12.75">
      <c r="N816" s="433"/>
    </row>
    <row r="817" ht="12.75">
      <c r="N817" s="433"/>
    </row>
    <row r="818" ht="12.75">
      <c r="N818" s="433"/>
    </row>
    <row r="819" ht="12.75">
      <c r="N819" s="433"/>
    </row>
    <row r="820" ht="12.75">
      <c r="N820" s="433"/>
    </row>
    <row r="821" ht="12.75">
      <c r="N821" s="433"/>
    </row>
    <row r="822" ht="12.75">
      <c r="N822" s="433"/>
    </row>
    <row r="823" ht="12.75">
      <c r="N823" s="433"/>
    </row>
    <row r="824" ht="12.75">
      <c r="N824" s="433"/>
    </row>
    <row r="825" ht="12.75">
      <c r="N825" s="433"/>
    </row>
    <row r="826" ht="12.75">
      <c r="N826" s="433"/>
    </row>
    <row r="827" ht="12.75">
      <c r="N827" s="433"/>
    </row>
    <row r="828" ht="12.75">
      <c r="N828" s="433"/>
    </row>
    <row r="829" ht="12.75">
      <c r="N829" s="433"/>
    </row>
    <row r="830" ht="12.75">
      <c r="N830" s="433"/>
    </row>
    <row r="831" ht="12.75">
      <c r="N831" s="433"/>
    </row>
    <row r="832" ht="12.75">
      <c r="N832" s="433"/>
    </row>
    <row r="833" ht="12.75">
      <c r="N833" s="433"/>
    </row>
    <row r="834" ht="12.75">
      <c r="N834" s="433"/>
    </row>
    <row r="835" ht="12.75">
      <c r="N835" s="433"/>
    </row>
    <row r="836" ht="12.75">
      <c r="N836" s="433"/>
    </row>
    <row r="837" ht="12.75">
      <c r="N837" s="433"/>
    </row>
    <row r="838" ht="12.75">
      <c r="N838" s="433"/>
    </row>
    <row r="839" ht="12.75">
      <c r="N839" s="433"/>
    </row>
    <row r="840" ht="12.75">
      <c r="N840" s="433"/>
    </row>
    <row r="841" ht="12.75">
      <c r="N841" s="433"/>
    </row>
    <row r="842" ht="12.75">
      <c r="N842" s="433"/>
    </row>
    <row r="843" ht="12.75">
      <c r="N843" s="433"/>
    </row>
    <row r="844" ht="12.75">
      <c r="N844" s="433"/>
    </row>
    <row r="845" ht="12.75">
      <c r="N845" s="433"/>
    </row>
    <row r="846" ht="12.75">
      <c r="N846" s="433"/>
    </row>
    <row r="847" ht="12.75">
      <c r="N847" s="433"/>
    </row>
    <row r="848" ht="12.75">
      <c r="N848" s="433"/>
    </row>
    <row r="849" ht="12.75">
      <c r="N849" s="433"/>
    </row>
    <row r="850" ht="12.75">
      <c r="N850" s="433"/>
    </row>
    <row r="851" ht="12.75">
      <c r="N851" s="433"/>
    </row>
    <row r="852" ht="12.75">
      <c r="N852" s="433"/>
    </row>
    <row r="853" ht="12.75">
      <c r="N853" s="433"/>
    </row>
    <row r="854" ht="12.75">
      <c r="N854" s="433"/>
    </row>
    <row r="855" ht="12.75">
      <c r="N855" s="433"/>
    </row>
    <row r="856" ht="12.75">
      <c r="N856" s="433"/>
    </row>
    <row r="857" ht="12.75">
      <c r="N857" s="433"/>
    </row>
    <row r="858" ht="12.75">
      <c r="N858" s="433"/>
    </row>
    <row r="859" ht="12.75">
      <c r="N859" s="433"/>
    </row>
    <row r="860" ht="12.75">
      <c r="N860" s="433"/>
    </row>
    <row r="861" ht="12.75">
      <c r="N861" s="433"/>
    </row>
    <row r="862" ht="12.75">
      <c r="N862" s="433"/>
    </row>
    <row r="863" ht="12.75">
      <c r="N863" s="433"/>
    </row>
    <row r="864" ht="12.75">
      <c r="N864" s="433"/>
    </row>
    <row r="865" ht="12.75">
      <c r="N865" s="433"/>
    </row>
    <row r="866" ht="12.75">
      <c r="N866" s="433"/>
    </row>
    <row r="867" ht="12.75">
      <c r="N867" s="433"/>
    </row>
    <row r="868" ht="12.75">
      <c r="N868" s="433"/>
    </row>
    <row r="869" ht="12.75">
      <c r="N869" s="433"/>
    </row>
    <row r="870" ht="12.75">
      <c r="N870" s="433"/>
    </row>
    <row r="871" ht="12.75">
      <c r="N871" s="433"/>
    </row>
    <row r="872" ht="12.75">
      <c r="N872" s="433"/>
    </row>
    <row r="873" ht="12.75">
      <c r="N873" s="433"/>
    </row>
    <row r="874" ht="12.75">
      <c r="N874" s="433"/>
    </row>
    <row r="875" ht="12.75">
      <c r="N875" s="433"/>
    </row>
    <row r="876" ht="12.75">
      <c r="N876" s="433"/>
    </row>
    <row r="877" ht="12.75">
      <c r="N877" s="433"/>
    </row>
    <row r="878" ht="12.75">
      <c r="N878" s="433"/>
    </row>
    <row r="879" ht="12.75">
      <c r="N879" s="433"/>
    </row>
    <row r="880" ht="12.75">
      <c r="N880" s="433"/>
    </row>
    <row r="881" ht="12.75">
      <c r="N881" s="433"/>
    </row>
    <row r="882" ht="12.75">
      <c r="N882" s="433"/>
    </row>
    <row r="883" ht="12.75">
      <c r="N883" s="433"/>
    </row>
    <row r="884" ht="12.75">
      <c r="N884" s="433"/>
    </row>
    <row r="885" ht="12.75">
      <c r="N885" s="433"/>
    </row>
    <row r="886" ht="12.75">
      <c r="N886" s="433"/>
    </row>
    <row r="887" ht="12.75">
      <c r="N887" s="433"/>
    </row>
    <row r="888" ht="12.75">
      <c r="N888" s="433"/>
    </row>
    <row r="889" ht="12.75">
      <c r="N889" s="433"/>
    </row>
    <row r="890" ht="12.75">
      <c r="N890" s="433"/>
    </row>
    <row r="891" ht="12.75">
      <c r="N891" s="433"/>
    </row>
    <row r="892" ht="12.75">
      <c r="N892" s="433"/>
    </row>
    <row r="893" ht="12.75">
      <c r="N893" s="433"/>
    </row>
    <row r="894" ht="12.75">
      <c r="N894" s="433"/>
    </row>
    <row r="895" ht="12.75">
      <c r="N895" s="433"/>
    </row>
    <row r="896" ht="12.75">
      <c r="N896" s="433"/>
    </row>
    <row r="897" ht="12.75">
      <c r="N897" s="433"/>
    </row>
    <row r="898" ht="12.75">
      <c r="N898" s="433"/>
    </row>
    <row r="899" ht="12.75">
      <c r="N899" s="433"/>
    </row>
    <row r="900" ht="12.75">
      <c r="N900" s="433"/>
    </row>
    <row r="901" ht="12.75">
      <c r="N901" s="433"/>
    </row>
    <row r="902" ht="12.75">
      <c r="N902" s="433"/>
    </row>
    <row r="903" ht="12.75">
      <c r="N903" s="433"/>
    </row>
    <row r="904" ht="12.75">
      <c r="N904" s="433"/>
    </row>
    <row r="905" ht="12.75">
      <c r="N905" s="433"/>
    </row>
    <row r="906" ht="12.75">
      <c r="N906" s="433"/>
    </row>
    <row r="907" ht="12.75">
      <c r="N907" s="433"/>
    </row>
    <row r="908" ht="12.75">
      <c r="N908" s="433"/>
    </row>
    <row r="909" ht="12.75">
      <c r="N909" s="433"/>
    </row>
    <row r="910" ht="12.75">
      <c r="N910" s="433"/>
    </row>
    <row r="911" ht="12.75">
      <c r="N911" s="433"/>
    </row>
    <row r="912" ht="12.75">
      <c r="N912" s="433"/>
    </row>
    <row r="913" ht="12.75">
      <c r="N913" s="433"/>
    </row>
    <row r="914" ht="12.75">
      <c r="N914" s="433"/>
    </row>
    <row r="915" ht="12.75">
      <c r="N915" s="433"/>
    </row>
    <row r="916" ht="12.75">
      <c r="N916" s="433"/>
    </row>
    <row r="917" ht="12.75">
      <c r="N917" s="433"/>
    </row>
    <row r="918" ht="12.75">
      <c r="N918" s="433"/>
    </row>
    <row r="919" ht="12.75">
      <c r="N919" s="433"/>
    </row>
    <row r="920" ht="12.75">
      <c r="N920" s="433"/>
    </row>
    <row r="921" ht="12.75">
      <c r="N921" s="433"/>
    </row>
    <row r="922" ht="12.75">
      <c r="N922" s="433"/>
    </row>
    <row r="923" ht="12.75">
      <c r="N923" s="433"/>
    </row>
    <row r="924" ht="12.75">
      <c r="N924" s="433"/>
    </row>
    <row r="925" ht="12.75">
      <c r="N925" s="433"/>
    </row>
    <row r="926" ht="12.75">
      <c r="N926" s="433"/>
    </row>
    <row r="927" ht="12.75">
      <c r="N927" s="433"/>
    </row>
    <row r="928" ht="12.75">
      <c r="N928" s="433"/>
    </row>
    <row r="929" ht="12.75">
      <c r="N929" s="433"/>
    </row>
    <row r="930" ht="12.75">
      <c r="N930" s="433"/>
    </row>
    <row r="931" ht="12.75">
      <c r="N931" s="433"/>
    </row>
    <row r="932" ht="12.75">
      <c r="N932" s="433"/>
    </row>
    <row r="933" ht="12.75">
      <c r="N933" s="433"/>
    </row>
    <row r="934" ht="12.75">
      <c r="N934" s="433"/>
    </row>
    <row r="935" ht="12.75">
      <c r="N935" s="433"/>
    </row>
    <row r="936" ht="12.75">
      <c r="N936" s="433"/>
    </row>
    <row r="937" ht="12.75">
      <c r="N937" s="433"/>
    </row>
    <row r="938" ht="12.75">
      <c r="N938" s="433"/>
    </row>
    <row r="939" ht="12.75">
      <c r="N939" s="433"/>
    </row>
    <row r="940" ht="12.75">
      <c r="N940" s="433"/>
    </row>
    <row r="941" ht="12.75">
      <c r="N941" s="433"/>
    </row>
    <row r="942" ht="12.75">
      <c r="N942" s="433"/>
    </row>
    <row r="943" ht="12.75">
      <c r="N943" s="433"/>
    </row>
    <row r="944" ht="12.75">
      <c r="N944" s="433"/>
    </row>
    <row r="945" ht="12.75">
      <c r="N945" s="433"/>
    </row>
    <row r="946" ht="12.75">
      <c r="N946" s="433"/>
    </row>
    <row r="947" ht="12.75">
      <c r="N947" s="433"/>
    </row>
    <row r="948" ht="12.75">
      <c r="N948" s="433"/>
    </row>
    <row r="949" ht="12.75">
      <c r="N949" s="433"/>
    </row>
    <row r="950" ht="12.75">
      <c r="N950" s="433"/>
    </row>
    <row r="951" ht="12.75">
      <c r="N951" s="433"/>
    </row>
    <row r="952" ht="12.75">
      <c r="N952" s="433"/>
    </row>
    <row r="953" ht="12.75">
      <c r="N953" s="433"/>
    </row>
    <row r="954" ht="12.75">
      <c r="N954" s="433"/>
    </row>
    <row r="955" ht="12.75">
      <c r="N955" s="433"/>
    </row>
    <row r="956" ht="12.75">
      <c r="N956" s="433"/>
    </row>
    <row r="957" ht="12.75">
      <c r="N957" s="433"/>
    </row>
    <row r="958" ht="12.75">
      <c r="N958" s="433"/>
    </row>
    <row r="959" ht="12.75">
      <c r="N959" s="433"/>
    </row>
    <row r="960" ht="12.75">
      <c r="N960" s="433"/>
    </row>
    <row r="961" ht="12.75">
      <c r="N961" s="433"/>
    </row>
    <row r="962" ht="12.75">
      <c r="N962" s="433"/>
    </row>
    <row r="963" ht="12.75">
      <c r="N963" s="433"/>
    </row>
    <row r="964" ht="12.75">
      <c r="N964" s="433"/>
    </row>
    <row r="965" ht="12.75">
      <c r="N965" s="433"/>
    </row>
    <row r="966" ht="12.75">
      <c r="N966" s="433"/>
    </row>
    <row r="967" ht="12.75">
      <c r="N967" s="433"/>
    </row>
    <row r="968" ht="12.75">
      <c r="N968" s="433"/>
    </row>
    <row r="969" ht="12.75">
      <c r="N969" s="433"/>
    </row>
    <row r="970" ht="12.75">
      <c r="N970" s="433"/>
    </row>
    <row r="971" ht="12.75">
      <c r="N971" s="433"/>
    </row>
    <row r="972" ht="12.75">
      <c r="N972" s="433"/>
    </row>
    <row r="973" ht="12.75">
      <c r="N973" s="433"/>
    </row>
    <row r="974" ht="12.75">
      <c r="N974" s="433"/>
    </row>
    <row r="975" ht="12.75">
      <c r="N975" s="433"/>
    </row>
    <row r="976" ht="12.75">
      <c r="N976" s="433"/>
    </row>
    <row r="977" ht="12.75">
      <c r="N977" s="433"/>
    </row>
    <row r="978" ht="12.75">
      <c r="N978" s="433"/>
    </row>
    <row r="979" ht="12.75">
      <c r="N979" s="433"/>
    </row>
    <row r="980" ht="12.75">
      <c r="N980" s="433"/>
    </row>
    <row r="981" ht="12.75">
      <c r="N981" s="433"/>
    </row>
    <row r="982" ht="12.75">
      <c r="N982" s="433"/>
    </row>
    <row r="983" ht="12.75">
      <c r="N983" s="433"/>
    </row>
    <row r="984" ht="12.75">
      <c r="N984" s="433"/>
    </row>
    <row r="985" ht="12.75">
      <c r="N985" s="433"/>
    </row>
    <row r="986" ht="12.75">
      <c r="N986" s="433"/>
    </row>
    <row r="987" ht="12.75">
      <c r="N987" s="433"/>
    </row>
    <row r="988" ht="12.75">
      <c r="N988" s="433"/>
    </row>
    <row r="989" ht="12.75">
      <c r="N989" s="433"/>
    </row>
    <row r="990" ht="12.75">
      <c r="N990" s="433"/>
    </row>
    <row r="991" ht="12.75">
      <c r="N991" s="433"/>
    </row>
    <row r="992" ht="12.75">
      <c r="N992" s="433"/>
    </row>
    <row r="993" ht="12.75">
      <c r="N993" s="433"/>
    </row>
    <row r="994" ht="12.75">
      <c r="N994" s="433"/>
    </row>
    <row r="995" ht="12.75">
      <c r="N995" s="433"/>
    </row>
    <row r="996" ht="12.75">
      <c r="N996" s="433"/>
    </row>
    <row r="997" ht="12.75">
      <c r="N997" s="433"/>
    </row>
    <row r="998" ht="12.75">
      <c r="N998" s="433"/>
    </row>
    <row r="999" ht="12.75">
      <c r="N999" s="433"/>
    </row>
    <row r="1000" ht="12.75">
      <c r="N1000" s="433"/>
    </row>
    <row r="1001" ht="12.75">
      <c r="N1001" s="433"/>
    </row>
    <row r="1002" ht="12.75">
      <c r="N1002" s="433"/>
    </row>
    <row r="1003" ht="12.75">
      <c r="N1003" s="433"/>
    </row>
    <row r="1004" ht="12.75">
      <c r="N1004" s="433"/>
    </row>
    <row r="1005" ht="12.75">
      <c r="N1005" s="433"/>
    </row>
    <row r="1006" ht="12.75">
      <c r="N1006" s="433"/>
    </row>
    <row r="1007" ht="12.75">
      <c r="N1007" s="433"/>
    </row>
    <row r="1008" ht="12.75">
      <c r="N1008" s="433"/>
    </row>
    <row r="1009" ht="12.75">
      <c r="N1009" s="433"/>
    </row>
    <row r="1010" ht="12.75">
      <c r="N1010" s="433"/>
    </row>
    <row r="1011" ht="12.75">
      <c r="N1011" s="433"/>
    </row>
    <row r="1012" ht="12.75">
      <c r="N1012" s="433"/>
    </row>
    <row r="1013" ht="12.75">
      <c r="N1013" s="433"/>
    </row>
    <row r="1014" ht="12.75">
      <c r="N1014" s="433"/>
    </row>
    <row r="1015" ht="12.75">
      <c r="N1015" s="433"/>
    </row>
    <row r="1016" ht="12.75">
      <c r="N1016" s="433"/>
    </row>
    <row r="1017" ht="12.75">
      <c r="N1017" s="433"/>
    </row>
    <row r="1018" ht="12.75">
      <c r="N1018" s="433"/>
    </row>
    <row r="1019" ht="12.75">
      <c r="N1019" s="433"/>
    </row>
    <row r="1020" ht="12.75">
      <c r="N1020" s="433"/>
    </row>
    <row r="1021" ht="12.75">
      <c r="N1021" s="433"/>
    </row>
    <row r="1022" ht="12.75">
      <c r="N1022" s="433"/>
    </row>
    <row r="1023" ht="12.75">
      <c r="N1023" s="433"/>
    </row>
    <row r="1024" ht="12.75">
      <c r="N1024" s="433"/>
    </row>
    <row r="1025" ht="12.75">
      <c r="N1025" s="433"/>
    </row>
    <row r="1026" ht="12.75">
      <c r="N1026" s="433"/>
    </row>
    <row r="1027" ht="12.75">
      <c r="N1027" s="433"/>
    </row>
    <row r="1028" ht="12.75">
      <c r="N1028" s="433"/>
    </row>
    <row r="1029" ht="12.75">
      <c r="N1029" s="433"/>
    </row>
    <row r="1030" ht="12.75">
      <c r="N1030" s="433"/>
    </row>
    <row r="1031" ht="12.75">
      <c r="N1031" s="433"/>
    </row>
    <row r="1032" ht="12.75">
      <c r="N1032" s="433"/>
    </row>
    <row r="1033" ht="12.75">
      <c r="N1033" s="433"/>
    </row>
    <row r="1034" ht="12.75">
      <c r="N1034" s="433"/>
    </row>
    <row r="1035" ht="12.75">
      <c r="N1035" s="433"/>
    </row>
    <row r="1036" ht="12.75">
      <c r="N1036" s="433"/>
    </row>
    <row r="1037" ht="12.75">
      <c r="N1037" s="433"/>
    </row>
    <row r="1038" ht="12.75">
      <c r="N1038" s="433"/>
    </row>
    <row r="1039" ht="12.75">
      <c r="N1039" s="433"/>
    </row>
    <row r="1040" ht="12.75">
      <c r="N1040" s="433"/>
    </row>
    <row r="1041" ht="12.75">
      <c r="N1041" s="433"/>
    </row>
    <row r="1042" ht="12.75">
      <c r="N1042" s="433"/>
    </row>
    <row r="1043" ht="12.75">
      <c r="N1043" s="433"/>
    </row>
    <row r="1044" ht="12.75">
      <c r="N1044" s="433"/>
    </row>
    <row r="1045" ht="12.75">
      <c r="N1045" s="433"/>
    </row>
    <row r="1046" ht="12.75">
      <c r="N1046" s="433"/>
    </row>
    <row r="1047" ht="12.75">
      <c r="N1047" s="433"/>
    </row>
    <row r="1048" ht="12.75">
      <c r="N1048" s="433"/>
    </row>
    <row r="1049" ht="12.75">
      <c r="N1049" s="433"/>
    </row>
    <row r="1050" ht="12.75">
      <c r="N1050" s="433"/>
    </row>
    <row r="1051" ht="12.75">
      <c r="N1051" s="433"/>
    </row>
    <row r="1052" ht="12.75">
      <c r="N1052" s="433"/>
    </row>
    <row r="1053" ht="12.75">
      <c r="N1053" s="433"/>
    </row>
    <row r="1054" ht="12.75">
      <c r="N1054" s="433"/>
    </row>
    <row r="1055" ht="12.75">
      <c r="N1055" s="433"/>
    </row>
    <row r="1056" ht="12.75">
      <c r="N1056" s="433"/>
    </row>
    <row r="1057" ht="12.75">
      <c r="N1057" s="433"/>
    </row>
    <row r="1058" ht="12.75">
      <c r="N1058" s="433"/>
    </row>
    <row r="1059" ht="12.75">
      <c r="N1059" s="433"/>
    </row>
    <row r="1060" ht="12.75">
      <c r="N1060" s="433"/>
    </row>
    <row r="1061" ht="12.75">
      <c r="N1061" s="433"/>
    </row>
    <row r="1062" ht="12.75">
      <c r="N1062" s="433"/>
    </row>
    <row r="1063" ht="12.75">
      <c r="N1063" s="433"/>
    </row>
    <row r="1064" ht="12.75">
      <c r="N1064" s="433"/>
    </row>
    <row r="1065" ht="12.75">
      <c r="N1065" s="433"/>
    </row>
    <row r="1066" ht="12.75">
      <c r="N1066" s="433"/>
    </row>
    <row r="1067" ht="12.75">
      <c r="N1067" s="433"/>
    </row>
    <row r="1068" ht="12.75">
      <c r="N1068" s="433"/>
    </row>
    <row r="1069" ht="12.75">
      <c r="N1069" s="433"/>
    </row>
    <row r="1070" ht="12.75">
      <c r="N1070" s="433"/>
    </row>
    <row r="1071" ht="12.75">
      <c r="N1071" s="433"/>
    </row>
    <row r="1072" ht="12.75">
      <c r="N1072" s="433"/>
    </row>
    <row r="1073" ht="12.75">
      <c r="N1073" s="433"/>
    </row>
    <row r="1074" ht="12.75">
      <c r="N1074" s="433"/>
    </row>
    <row r="1075" ht="12.75">
      <c r="N1075" s="433"/>
    </row>
    <row r="1076" ht="12.75">
      <c r="N1076" s="433"/>
    </row>
    <row r="1077" ht="12.75">
      <c r="N1077" s="433"/>
    </row>
    <row r="1078" ht="12.75">
      <c r="N1078" s="433"/>
    </row>
    <row r="1079" ht="12.75">
      <c r="N1079" s="433"/>
    </row>
    <row r="1080" ht="12.75">
      <c r="N1080" s="433"/>
    </row>
    <row r="1081" ht="12.75">
      <c r="N1081" s="433"/>
    </row>
    <row r="1082" ht="12.75">
      <c r="N1082" s="433"/>
    </row>
    <row r="1083" ht="12.75">
      <c r="N1083" s="433"/>
    </row>
    <row r="1084" ht="12.75">
      <c r="N1084" s="433"/>
    </row>
    <row r="1085" ht="12.75">
      <c r="N1085" s="433"/>
    </row>
    <row r="1086" ht="12.75">
      <c r="N1086" s="433"/>
    </row>
    <row r="1087" ht="12.75">
      <c r="N1087" s="433"/>
    </row>
    <row r="1088" ht="12.75">
      <c r="N1088" s="433"/>
    </row>
    <row r="1089" ht="12.75">
      <c r="N1089" s="433"/>
    </row>
    <row r="1090" ht="12.75">
      <c r="N1090" s="433"/>
    </row>
    <row r="1091" ht="12.75">
      <c r="N1091" s="433"/>
    </row>
    <row r="1092" ht="12.75">
      <c r="N1092" s="433"/>
    </row>
    <row r="1093" ht="12.75">
      <c r="N1093" s="433"/>
    </row>
    <row r="1094" ht="12.75">
      <c r="N1094" s="433"/>
    </row>
    <row r="1095" ht="12.75">
      <c r="N1095" s="433"/>
    </row>
    <row r="1096" ht="12.75">
      <c r="N1096" s="433"/>
    </row>
    <row r="1097" ht="12.75">
      <c r="N1097" s="433"/>
    </row>
    <row r="1098" ht="12.75">
      <c r="N1098" s="433"/>
    </row>
    <row r="1099" ht="12.75">
      <c r="N1099" s="433"/>
    </row>
    <row r="1100" ht="12.75">
      <c r="N1100" s="433"/>
    </row>
    <row r="1101" ht="12.75">
      <c r="N1101" s="433"/>
    </row>
    <row r="1102" ht="12.75">
      <c r="N1102" s="433"/>
    </row>
    <row r="1103" ht="12.75">
      <c r="N1103" s="433"/>
    </row>
    <row r="1104" ht="12.75">
      <c r="N1104" s="433"/>
    </row>
    <row r="1105" ht="12.75">
      <c r="N1105" s="433"/>
    </row>
    <row r="1106" ht="12.75">
      <c r="N1106" s="433"/>
    </row>
    <row r="1107" ht="12.75">
      <c r="N1107" s="433"/>
    </row>
    <row r="1108" ht="12.75">
      <c r="N1108" s="433"/>
    </row>
    <row r="1109" ht="12.75">
      <c r="N1109" s="433"/>
    </row>
    <row r="1110" ht="12.75">
      <c r="N1110" s="433"/>
    </row>
    <row r="1111" ht="12.75">
      <c r="N1111" s="433"/>
    </row>
    <row r="1112" ht="12.75">
      <c r="N1112" s="433"/>
    </row>
    <row r="1113" ht="12.75">
      <c r="N1113" s="433"/>
    </row>
    <row r="1114" ht="12.75">
      <c r="N1114" s="433"/>
    </row>
    <row r="1115" ht="12.75">
      <c r="N1115" s="433"/>
    </row>
    <row r="1116" ht="12.75">
      <c r="N1116" s="433"/>
    </row>
    <row r="1117" ht="12.75">
      <c r="N1117" s="433"/>
    </row>
    <row r="1118" ht="12.75">
      <c r="N1118" s="433"/>
    </row>
    <row r="1119" ht="12.75">
      <c r="N1119" s="433"/>
    </row>
    <row r="1120" ht="12.75">
      <c r="N1120" s="433"/>
    </row>
    <row r="1121" ht="12.75">
      <c r="N1121" s="433"/>
    </row>
    <row r="1122" ht="12.75">
      <c r="N1122" s="433"/>
    </row>
    <row r="1123" ht="12.75">
      <c r="N1123" s="433"/>
    </row>
    <row r="1124" ht="12.75">
      <c r="N1124" s="433"/>
    </row>
    <row r="1125" ht="12.75">
      <c r="N1125" s="433"/>
    </row>
    <row r="1126" ht="12.75">
      <c r="N1126" s="433"/>
    </row>
    <row r="1127" ht="12.75">
      <c r="N1127" s="433"/>
    </row>
    <row r="1128" ht="12.75">
      <c r="N1128" s="433"/>
    </row>
    <row r="1129" ht="12.75">
      <c r="N1129" s="433"/>
    </row>
    <row r="1130" ht="12.75">
      <c r="N1130" s="433"/>
    </row>
    <row r="1131" ht="12.75">
      <c r="N1131" s="433"/>
    </row>
    <row r="1132" ht="12.75">
      <c r="N1132" s="433"/>
    </row>
    <row r="1133" ht="12.75">
      <c r="N1133" s="433"/>
    </row>
    <row r="1134" ht="12.75">
      <c r="N1134" s="433"/>
    </row>
    <row r="1135" ht="12.75">
      <c r="N1135" s="433"/>
    </row>
    <row r="1136" ht="12.75">
      <c r="N1136" s="433"/>
    </row>
    <row r="1137" ht="12.75">
      <c r="N1137" s="433"/>
    </row>
    <row r="1138" ht="12.75">
      <c r="N1138" s="433"/>
    </row>
    <row r="1139" ht="12.75">
      <c r="N1139" s="433"/>
    </row>
    <row r="1140" ht="12.75">
      <c r="N1140" s="433"/>
    </row>
    <row r="1141" ht="12.75">
      <c r="N1141" s="433"/>
    </row>
    <row r="1142" ht="12.75">
      <c r="N1142" s="433"/>
    </row>
    <row r="1143" ht="12.75">
      <c r="N1143" s="433"/>
    </row>
    <row r="1144" ht="12.75">
      <c r="N1144" s="433"/>
    </row>
    <row r="1145" ht="12.75">
      <c r="N1145" s="433"/>
    </row>
    <row r="1146" ht="12.75">
      <c r="N1146" s="433"/>
    </row>
    <row r="1147" ht="12.75">
      <c r="N1147" s="433"/>
    </row>
    <row r="1148" ht="12.75">
      <c r="N1148" s="433"/>
    </row>
    <row r="1149" ht="12.75">
      <c r="N1149" s="433"/>
    </row>
    <row r="1150" ht="12.75">
      <c r="N1150" s="433"/>
    </row>
    <row r="1151" ht="12.75">
      <c r="N1151" s="433"/>
    </row>
    <row r="1152" ht="12.75">
      <c r="N1152" s="433"/>
    </row>
    <row r="1153" ht="12.75">
      <c r="N1153" s="433"/>
    </row>
    <row r="1154" ht="12.75">
      <c r="N1154" s="433"/>
    </row>
    <row r="1155" ht="12.75">
      <c r="N1155" s="433"/>
    </row>
    <row r="1156" ht="12.75">
      <c r="N1156" s="433"/>
    </row>
    <row r="1157" ht="12.75">
      <c r="N1157" s="433"/>
    </row>
    <row r="1158" ht="12.75">
      <c r="N1158" s="433"/>
    </row>
    <row r="1159" ht="12.75">
      <c r="N1159" s="433"/>
    </row>
    <row r="1160" ht="12.75">
      <c r="N1160" s="433"/>
    </row>
    <row r="1161" ht="12.75">
      <c r="N1161" s="433"/>
    </row>
    <row r="1162" ht="12.75">
      <c r="N1162" s="433"/>
    </row>
    <row r="1163" ht="12.75">
      <c r="N1163" s="433"/>
    </row>
    <row r="1164" ht="12.75">
      <c r="N1164" s="433"/>
    </row>
    <row r="1165" ht="12.75">
      <c r="N1165" s="433"/>
    </row>
    <row r="1166" ht="12.75">
      <c r="N1166" s="433"/>
    </row>
    <row r="1167" ht="12.75">
      <c r="N1167" s="433"/>
    </row>
    <row r="1168" ht="12.75">
      <c r="N1168" s="433"/>
    </row>
    <row r="1169" ht="12.75">
      <c r="N1169" s="433"/>
    </row>
    <row r="1170" ht="12.75">
      <c r="N1170" s="433"/>
    </row>
    <row r="1171" ht="12.75">
      <c r="N1171" s="433"/>
    </row>
    <row r="1172" ht="12.75">
      <c r="N1172" s="433"/>
    </row>
    <row r="1173" ht="12.75">
      <c r="N1173" s="433"/>
    </row>
    <row r="1174" ht="12.75">
      <c r="N1174" s="433"/>
    </row>
    <row r="1175" ht="12.75">
      <c r="N1175" s="433"/>
    </row>
    <row r="1176" ht="12.75">
      <c r="N1176" s="433"/>
    </row>
    <row r="1177" ht="12.75">
      <c r="N1177" s="433"/>
    </row>
    <row r="1178" ht="12.75">
      <c r="N1178" s="433"/>
    </row>
    <row r="1179" ht="12.75">
      <c r="N1179" s="433"/>
    </row>
    <row r="1180" ht="12.75">
      <c r="N1180" s="433"/>
    </row>
    <row r="1181" ht="12.75">
      <c r="N1181" s="433"/>
    </row>
    <row r="1182" ht="12.75">
      <c r="N1182" s="433"/>
    </row>
    <row r="1183" ht="12.75">
      <c r="N1183" s="433"/>
    </row>
    <row r="1184" ht="12.75">
      <c r="N1184" s="433"/>
    </row>
    <row r="1185" ht="12.75">
      <c r="N1185" s="433"/>
    </row>
    <row r="1186" ht="12.75">
      <c r="N1186" s="433"/>
    </row>
    <row r="1187" ht="12.75">
      <c r="N1187" s="433"/>
    </row>
    <row r="1188" ht="12.75">
      <c r="N1188" s="433"/>
    </row>
    <row r="1189" ht="12.75">
      <c r="N1189" s="433"/>
    </row>
    <row r="1190" ht="12.75">
      <c r="N1190" s="433"/>
    </row>
    <row r="1191" ht="12.75">
      <c r="N1191" s="433"/>
    </row>
    <row r="1192" ht="12.75">
      <c r="N1192" s="433"/>
    </row>
    <row r="1193" ht="12.75">
      <c r="N1193" s="433"/>
    </row>
    <row r="1194" ht="12.75">
      <c r="N1194" s="433"/>
    </row>
    <row r="1195" ht="12.75">
      <c r="N1195" s="433"/>
    </row>
    <row r="1196" ht="12.75">
      <c r="N1196" s="433"/>
    </row>
    <row r="1197" ht="12.75">
      <c r="N1197" s="433"/>
    </row>
    <row r="1198" ht="12.75">
      <c r="N1198" s="433"/>
    </row>
    <row r="1199" ht="12.75">
      <c r="N1199" s="433"/>
    </row>
    <row r="1200" ht="12.75">
      <c r="N1200" s="433"/>
    </row>
    <row r="1201" ht="12.75">
      <c r="N1201" s="433"/>
    </row>
    <row r="1202" ht="12.75">
      <c r="N1202" s="433"/>
    </row>
    <row r="1203" ht="12.75">
      <c r="N1203" s="433"/>
    </row>
    <row r="1204" ht="12.75">
      <c r="N1204" s="433"/>
    </row>
    <row r="1205" ht="12.75">
      <c r="N1205" s="433"/>
    </row>
    <row r="1206" ht="12.75">
      <c r="N1206" s="433"/>
    </row>
    <row r="1207" ht="12.75">
      <c r="N1207" s="433"/>
    </row>
    <row r="1208" ht="12.75">
      <c r="N1208" s="433"/>
    </row>
    <row r="1209" ht="12.75">
      <c r="N1209" s="433"/>
    </row>
    <row r="1210" ht="12.75">
      <c r="N1210" s="433"/>
    </row>
    <row r="1211" ht="12.75">
      <c r="N1211" s="433"/>
    </row>
    <row r="1212" ht="12.75">
      <c r="N1212" s="433"/>
    </row>
    <row r="1213" ht="12.75">
      <c r="N1213" s="433"/>
    </row>
    <row r="1214" ht="12.75">
      <c r="N1214" s="433"/>
    </row>
    <row r="1215" ht="12.75">
      <c r="N1215" s="433"/>
    </row>
    <row r="1216" ht="12.75">
      <c r="N1216" s="433"/>
    </row>
    <row r="1217" ht="12.75">
      <c r="N1217" s="433"/>
    </row>
    <row r="1218" ht="12.75">
      <c r="N1218" s="433"/>
    </row>
    <row r="1219" ht="12.75">
      <c r="N1219" s="433"/>
    </row>
    <row r="1220" ht="12.75">
      <c r="N1220" s="433"/>
    </row>
    <row r="1221" ht="12.75">
      <c r="N1221" s="433"/>
    </row>
    <row r="1222" ht="12.75">
      <c r="N1222" s="433"/>
    </row>
    <row r="1223" ht="12.75">
      <c r="N1223" s="433"/>
    </row>
    <row r="1224" ht="12.75">
      <c r="N1224" s="433"/>
    </row>
    <row r="1225" ht="12.75">
      <c r="N1225" s="433"/>
    </row>
    <row r="1226" ht="12.75">
      <c r="N1226" s="433"/>
    </row>
    <row r="1227" ht="12.75">
      <c r="N1227" s="433"/>
    </row>
    <row r="1228" ht="12.75">
      <c r="N1228" s="433"/>
    </row>
    <row r="1229" ht="12.75">
      <c r="N1229" s="433"/>
    </row>
    <row r="1230" ht="12.75">
      <c r="N1230" s="433"/>
    </row>
    <row r="1231" ht="12.75">
      <c r="N1231" s="433"/>
    </row>
    <row r="1232" ht="12.75">
      <c r="N1232" s="433"/>
    </row>
    <row r="1233" ht="12.75">
      <c r="N1233" s="433"/>
    </row>
    <row r="1234" ht="12.75">
      <c r="N1234" s="433"/>
    </row>
    <row r="1235" ht="12.75">
      <c r="N1235" s="433"/>
    </row>
    <row r="1236" ht="12.75">
      <c r="N1236" s="433"/>
    </row>
    <row r="1237" ht="12.75">
      <c r="N1237" s="433"/>
    </row>
    <row r="1238" ht="12.75">
      <c r="N1238" s="433"/>
    </row>
    <row r="1239" ht="12.75">
      <c r="N1239" s="433"/>
    </row>
    <row r="1240" ht="12.75">
      <c r="N1240" s="433"/>
    </row>
    <row r="1241" ht="12.75">
      <c r="N1241" s="433"/>
    </row>
    <row r="1242" ht="12.75">
      <c r="N1242" s="433"/>
    </row>
    <row r="1243" ht="12.75">
      <c r="N1243" s="433"/>
    </row>
    <row r="1244" ht="12.75">
      <c r="N1244" s="433"/>
    </row>
    <row r="1245" ht="12.75">
      <c r="N1245" s="433"/>
    </row>
    <row r="1246" ht="12.75">
      <c r="N1246" s="433"/>
    </row>
    <row r="1247" ht="12.75">
      <c r="N1247" s="433"/>
    </row>
    <row r="1248" ht="12.75">
      <c r="N1248" s="433"/>
    </row>
    <row r="1249" ht="12.75">
      <c r="N1249" s="433"/>
    </row>
    <row r="1250" ht="12.75">
      <c r="N1250" s="433"/>
    </row>
    <row r="1251" ht="12.75">
      <c r="N1251" s="433"/>
    </row>
    <row r="1252" ht="12.75">
      <c r="N1252" s="433"/>
    </row>
    <row r="1253" ht="12.75">
      <c r="N1253" s="433"/>
    </row>
    <row r="1254" ht="12.75">
      <c r="N1254" s="433"/>
    </row>
    <row r="1255" ht="12.75">
      <c r="N1255" s="433"/>
    </row>
    <row r="1256" ht="12.75">
      <c r="N1256" s="433"/>
    </row>
    <row r="1257" ht="12.75">
      <c r="N1257" s="433"/>
    </row>
    <row r="1258" ht="12.75">
      <c r="N1258" s="433"/>
    </row>
    <row r="1259" ht="12.75">
      <c r="N1259" s="433"/>
    </row>
    <row r="1260" ht="12.75">
      <c r="N1260" s="433"/>
    </row>
    <row r="1261" ht="12.75">
      <c r="N1261" s="433"/>
    </row>
    <row r="1262" ht="12.75">
      <c r="N1262" s="433"/>
    </row>
    <row r="1263" ht="12.75">
      <c r="N1263" s="433"/>
    </row>
    <row r="1264" ht="12.75">
      <c r="N1264" s="433"/>
    </row>
    <row r="1265" ht="12.75">
      <c r="N1265" s="433"/>
    </row>
    <row r="1266" ht="12.75">
      <c r="N1266" s="433"/>
    </row>
    <row r="1267" ht="12.75">
      <c r="N1267" s="433"/>
    </row>
    <row r="1268" ht="12.75">
      <c r="N1268" s="433"/>
    </row>
    <row r="1269" ht="12.75">
      <c r="N1269" s="433"/>
    </row>
    <row r="1270" ht="12.75">
      <c r="N1270" s="433"/>
    </row>
    <row r="1271" ht="12.75">
      <c r="N1271" s="433"/>
    </row>
    <row r="1272" ht="12.75">
      <c r="N1272" s="433"/>
    </row>
    <row r="1273" ht="12.75">
      <c r="N1273" s="433"/>
    </row>
    <row r="1274" ht="12.75">
      <c r="N1274" s="433"/>
    </row>
    <row r="1275" ht="12.75">
      <c r="N1275" s="433"/>
    </row>
    <row r="1276" ht="12.75">
      <c r="N1276" s="433"/>
    </row>
    <row r="1277" ht="12.75">
      <c r="N1277" s="433"/>
    </row>
    <row r="1278" ht="12.75">
      <c r="N1278" s="433"/>
    </row>
    <row r="1279" ht="12.75">
      <c r="N1279" s="433"/>
    </row>
    <row r="1280" ht="12.75">
      <c r="N1280" s="433"/>
    </row>
    <row r="1281" ht="12.75">
      <c r="N1281" s="433"/>
    </row>
    <row r="1282" ht="12.75">
      <c r="N1282" s="433"/>
    </row>
    <row r="1283" ht="12.75">
      <c r="N1283" s="433"/>
    </row>
    <row r="1284" ht="12.75">
      <c r="N1284" s="433"/>
    </row>
    <row r="1285" ht="12.75">
      <c r="N1285" s="433"/>
    </row>
    <row r="1286" ht="12.75">
      <c r="N1286" s="433"/>
    </row>
    <row r="1287" ht="12.75">
      <c r="N1287" s="433"/>
    </row>
    <row r="1288" ht="12.75">
      <c r="N1288" s="433"/>
    </row>
    <row r="1289" ht="12.75">
      <c r="N1289" s="433"/>
    </row>
    <row r="1290" ht="12.75">
      <c r="N1290" s="433"/>
    </row>
    <row r="1291" ht="12.75">
      <c r="N1291" s="433"/>
    </row>
    <row r="1292" ht="12.75">
      <c r="N1292" s="433"/>
    </row>
    <row r="1293" ht="12.75">
      <c r="N1293" s="433"/>
    </row>
    <row r="1294" ht="12.75">
      <c r="N1294" s="433"/>
    </row>
    <row r="1295" ht="12.75">
      <c r="N1295" s="433"/>
    </row>
    <row r="1296" ht="12.75">
      <c r="N1296" s="433"/>
    </row>
    <row r="1297" ht="12.75">
      <c r="N1297" s="433"/>
    </row>
    <row r="1298" ht="12.75">
      <c r="N1298" s="433"/>
    </row>
    <row r="1299" ht="12.75">
      <c r="N1299" s="433"/>
    </row>
    <row r="1300" ht="12.75">
      <c r="N1300" s="433"/>
    </row>
    <row r="1301" ht="12.75">
      <c r="N1301" s="433"/>
    </row>
    <row r="1302" ht="12.75">
      <c r="N1302" s="433"/>
    </row>
    <row r="1303" ht="12.75">
      <c r="N1303" s="433"/>
    </row>
    <row r="1304" ht="12.75">
      <c r="N1304" s="433"/>
    </row>
    <row r="1305" ht="12.75">
      <c r="N1305" s="433"/>
    </row>
    <row r="1306" ht="12.75">
      <c r="N1306" s="433"/>
    </row>
    <row r="1307" ht="12.75">
      <c r="N1307" s="433"/>
    </row>
    <row r="1308" ht="12.75">
      <c r="N1308" s="433"/>
    </row>
    <row r="1309" ht="12.75">
      <c r="N1309" s="433"/>
    </row>
    <row r="1310" ht="12.75">
      <c r="N1310" s="433"/>
    </row>
    <row r="1311" ht="12.75">
      <c r="N1311" s="433"/>
    </row>
    <row r="1312" ht="12.75">
      <c r="N1312" s="433"/>
    </row>
    <row r="1313" ht="12.75">
      <c r="N1313" s="433"/>
    </row>
    <row r="1314" ht="12.75">
      <c r="N1314" s="433"/>
    </row>
    <row r="1315" ht="12.75">
      <c r="N1315" s="433"/>
    </row>
    <row r="1316" ht="12.75">
      <c r="N1316" s="433"/>
    </row>
    <row r="1317" ht="12.75">
      <c r="N1317" s="433"/>
    </row>
    <row r="1318" ht="12.75">
      <c r="N1318" s="433"/>
    </row>
    <row r="1319" ht="12.75">
      <c r="N1319" s="433"/>
    </row>
    <row r="1320" ht="12.75">
      <c r="N1320" s="433"/>
    </row>
    <row r="1321" ht="12.75">
      <c r="N1321" s="433"/>
    </row>
    <row r="1322" ht="12.75">
      <c r="N1322" s="433"/>
    </row>
    <row r="1323" ht="12.75">
      <c r="N1323" s="433"/>
    </row>
    <row r="1324" ht="12.75">
      <c r="N1324" s="433"/>
    </row>
    <row r="1325" ht="12.75">
      <c r="N1325" s="433"/>
    </row>
    <row r="1326" ht="12.75">
      <c r="N1326" s="433"/>
    </row>
    <row r="1327" ht="12.75">
      <c r="N1327" s="433"/>
    </row>
    <row r="1328" ht="12.75">
      <c r="N1328" s="433"/>
    </row>
    <row r="1329" ht="12.75">
      <c r="N1329" s="433"/>
    </row>
    <row r="1330" ht="12.75">
      <c r="N1330" s="433"/>
    </row>
    <row r="1331" ht="12.75">
      <c r="N1331" s="433"/>
    </row>
    <row r="1332" ht="12.75">
      <c r="N1332" s="433"/>
    </row>
    <row r="1333" ht="12.75">
      <c r="N1333" s="433"/>
    </row>
    <row r="1334" ht="12.75">
      <c r="N1334" s="433"/>
    </row>
    <row r="1335" ht="12.75">
      <c r="N1335" s="433"/>
    </row>
    <row r="1336" ht="12.75">
      <c r="N1336" s="433"/>
    </row>
    <row r="1337" ht="12.75">
      <c r="N1337" s="433"/>
    </row>
    <row r="1338" ht="12.75">
      <c r="N1338" s="433"/>
    </row>
    <row r="1339" ht="12.75">
      <c r="N1339" s="433"/>
    </row>
    <row r="1340" ht="12.75">
      <c r="N1340" s="433"/>
    </row>
    <row r="1341" ht="12.75">
      <c r="N1341" s="433"/>
    </row>
    <row r="1342" ht="12.75">
      <c r="N1342" s="433"/>
    </row>
    <row r="1343" ht="12.75">
      <c r="N1343" s="433"/>
    </row>
    <row r="1344" ht="12.75">
      <c r="N1344" s="433"/>
    </row>
    <row r="1345" ht="12.75">
      <c r="N1345" s="433"/>
    </row>
    <row r="1346" ht="12.75">
      <c r="N1346" s="433"/>
    </row>
    <row r="1347" ht="12.75">
      <c r="N1347" s="433"/>
    </row>
    <row r="1348" ht="12.75">
      <c r="N1348" s="433"/>
    </row>
    <row r="1349" ht="12.75">
      <c r="N1349" s="433"/>
    </row>
    <row r="1350" ht="12.75">
      <c r="N1350" s="433"/>
    </row>
    <row r="1351" ht="12.75">
      <c r="N1351" s="433"/>
    </row>
    <row r="1352" ht="12.75">
      <c r="N1352" s="433"/>
    </row>
    <row r="1353" ht="12.75">
      <c r="N1353" s="433"/>
    </row>
    <row r="1354" ht="12.75">
      <c r="N1354" s="433"/>
    </row>
    <row r="1355" ht="12.75">
      <c r="N1355" s="433"/>
    </row>
    <row r="1356" ht="12.75">
      <c r="N1356" s="433"/>
    </row>
    <row r="1357" ht="12.75">
      <c r="N1357" s="433"/>
    </row>
    <row r="1358" ht="12.75">
      <c r="N1358" s="433"/>
    </row>
    <row r="1359" ht="12.75">
      <c r="N1359" s="433"/>
    </row>
    <row r="1360" ht="12.75">
      <c r="N1360" s="433"/>
    </row>
    <row r="1361" ht="12.75">
      <c r="N1361" s="433"/>
    </row>
    <row r="1362" ht="12.75">
      <c r="N1362" s="433"/>
    </row>
    <row r="1363" ht="12.75">
      <c r="N1363" s="433"/>
    </row>
    <row r="1364" ht="12.75">
      <c r="N1364" s="433"/>
    </row>
    <row r="1365" ht="12.75">
      <c r="N1365" s="433"/>
    </row>
    <row r="1366" ht="12.75">
      <c r="N1366" s="433"/>
    </row>
    <row r="1367" ht="12.75">
      <c r="N1367" s="433"/>
    </row>
    <row r="1368" ht="12.75">
      <c r="N1368" s="433"/>
    </row>
    <row r="1369" ht="12.75">
      <c r="N1369" s="433"/>
    </row>
    <row r="1370" ht="12.75">
      <c r="N1370" s="433"/>
    </row>
    <row r="1371" ht="12.75">
      <c r="N1371" s="433"/>
    </row>
    <row r="1372" ht="12.75">
      <c r="N1372" s="433"/>
    </row>
    <row r="1373" ht="12.75">
      <c r="N1373" s="433"/>
    </row>
    <row r="1374" ht="12.75">
      <c r="N1374" s="433"/>
    </row>
    <row r="1375" ht="12.75">
      <c r="N1375" s="433"/>
    </row>
    <row r="1376" ht="12.75">
      <c r="N1376" s="433"/>
    </row>
    <row r="1377" ht="12.75">
      <c r="N1377" s="433"/>
    </row>
    <row r="1378" ht="12.75">
      <c r="N1378" s="433"/>
    </row>
    <row r="1379" ht="12.75">
      <c r="N1379" s="433"/>
    </row>
    <row r="1380" ht="12.75">
      <c r="N1380" s="433"/>
    </row>
    <row r="1381" ht="12.75">
      <c r="N1381" s="433"/>
    </row>
    <row r="1382" ht="12.75">
      <c r="N1382" s="433"/>
    </row>
    <row r="1383" ht="12.75">
      <c r="N1383" s="433"/>
    </row>
    <row r="1384" ht="12.75">
      <c r="N1384" s="433"/>
    </row>
    <row r="1385" ht="12.75">
      <c r="N1385" s="433"/>
    </row>
    <row r="1386" ht="12.75">
      <c r="N1386" s="433"/>
    </row>
    <row r="1387" ht="12.75">
      <c r="N1387" s="433"/>
    </row>
    <row r="1388" ht="12.75">
      <c r="N1388" s="433"/>
    </row>
    <row r="1389" ht="12.75">
      <c r="N1389" s="433"/>
    </row>
    <row r="1390" ht="12.75">
      <c r="N1390" s="433"/>
    </row>
    <row r="1391" ht="12.75">
      <c r="N1391" s="433"/>
    </row>
    <row r="1392" ht="12.75">
      <c r="N1392" s="433"/>
    </row>
    <row r="1393" ht="12.75">
      <c r="N1393" s="433"/>
    </row>
    <row r="1394" ht="12.75">
      <c r="N1394" s="433"/>
    </row>
    <row r="1395" ht="12.75">
      <c r="N1395" s="433"/>
    </row>
    <row r="1396" ht="12.75">
      <c r="N1396" s="433"/>
    </row>
    <row r="1397" ht="12.75">
      <c r="N1397" s="433"/>
    </row>
    <row r="1398" ht="12.75">
      <c r="N1398" s="433"/>
    </row>
    <row r="1399" ht="12.75">
      <c r="N1399" s="433"/>
    </row>
    <row r="1400" ht="12.75">
      <c r="N1400" s="433"/>
    </row>
    <row r="1401" ht="12.75">
      <c r="N1401" s="433"/>
    </row>
    <row r="1402" ht="12.75">
      <c r="N1402" s="433"/>
    </row>
    <row r="1403" ht="12.75">
      <c r="N1403" s="433"/>
    </row>
    <row r="1404" ht="12.75">
      <c r="N1404" s="433"/>
    </row>
    <row r="1405" ht="12.75">
      <c r="N1405" s="433"/>
    </row>
    <row r="1406" ht="12.75">
      <c r="N1406" s="433"/>
    </row>
    <row r="1407" ht="12.75">
      <c r="N1407" s="433"/>
    </row>
    <row r="1408" ht="12.75">
      <c r="N1408" s="433"/>
    </row>
    <row r="1409" ht="12.75">
      <c r="N1409" s="433"/>
    </row>
    <row r="1410" ht="12.75">
      <c r="N1410" s="433"/>
    </row>
    <row r="1411" ht="12.75">
      <c r="N1411" s="433"/>
    </row>
    <row r="1412" ht="12.75">
      <c r="N1412" s="433"/>
    </row>
    <row r="1413" ht="12.75">
      <c r="N1413" s="433"/>
    </row>
    <row r="1414" ht="12.75">
      <c r="N1414" s="433"/>
    </row>
    <row r="1415" ht="12.75">
      <c r="N1415" s="433"/>
    </row>
    <row r="1416" ht="12.75">
      <c r="N1416" s="433"/>
    </row>
    <row r="1417" ht="12.75">
      <c r="N1417" s="433"/>
    </row>
    <row r="1418" ht="12.75">
      <c r="N1418" s="433"/>
    </row>
    <row r="1419" ht="12.75">
      <c r="N1419" s="433"/>
    </row>
    <row r="1420" ht="12.75">
      <c r="N1420" s="433"/>
    </row>
    <row r="1421" ht="12.75">
      <c r="N1421" s="433"/>
    </row>
    <row r="1422" ht="12.75">
      <c r="N1422" s="433"/>
    </row>
    <row r="1423" ht="12.75">
      <c r="N1423" s="433"/>
    </row>
    <row r="1424" ht="12.75">
      <c r="N1424" s="433"/>
    </row>
    <row r="1425" ht="12.75">
      <c r="N1425" s="433"/>
    </row>
    <row r="1426" ht="12.75">
      <c r="N1426" s="433"/>
    </row>
    <row r="1427" ht="12.75">
      <c r="N1427" s="433"/>
    </row>
    <row r="1428" ht="12.75">
      <c r="N1428" s="433"/>
    </row>
    <row r="1429" ht="12.75">
      <c r="N1429" s="433"/>
    </row>
    <row r="1430" ht="12.75">
      <c r="N1430" s="433"/>
    </row>
    <row r="1431" ht="12.75">
      <c r="N1431" s="433"/>
    </row>
    <row r="1432" ht="12.75">
      <c r="N1432" s="433"/>
    </row>
    <row r="1433" ht="12.75">
      <c r="N1433" s="433"/>
    </row>
    <row r="1434" ht="12.75">
      <c r="N1434" s="433"/>
    </row>
    <row r="1435" ht="12.75">
      <c r="N1435" s="433"/>
    </row>
    <row r="1436" ht="12.75">
      <c r="N1436" s="433"/>
    </row>
    <row r="1437" ht="12.75">
      <c r="N1437" s="433"/>
    </row>
    <row r="1438" ht="12.75">
      <c r="N1438" s="433"/>
    </row>
    <row r="1439" ht="12.75">
      <c r="N1439" s="433"/>
    </row>
    <row r="1440" ht="12.75">
      <c r="N1440" s="433"/>
    </row>
    <row r="1441" ht="12.75">
      <c r="N1441" s="433"/>
    </row>
    <row r="1442" ht="12.75">
      <c r="N1442" s="433"/>
    </row>
    <row r="1443" ht="12.75">
      <c r="N1443" s="433"/>
    </row>
    <row r="1444" ht="12.75">
      <c r="N1444" s="433"/>
    </row>
    <row r="1445" ht="12.75">
      <c r="N1445" s="433"/>
    </row>
    <row r="1446" ht="12.75">
      <c r="N1446" s="433"/>
    </row>
    <row r="1447" ht="12.75">
      <c r="N1447" s="433"/>
    </row>
    <row r="1448" ht="12.75">
      <c r="N1448" s="433"/>
    </row>
    <row r="1449" ht="12.75">
      <c r="N1449" s="433"/>
    </row>
    <row r="1450" ht="12.75">
      <c r="N1450" s="433"/>
    </row>
    <row r="1451" ht="12.75">
      <c r="N1451" s="433"/>
    </row>
    <row r="1452" ht="12.75">
      <c r="N1452" s="433"/>
    </row>
    <row r="1453" ht="12.75">
      <c r="N1453" s="433"/>
    </row>
    <row r="1454" ht="12.75">
      <c r="N1454" s="433"/>
    </row>
    <row r="1455" ht="12.75">
      <c r="N1455" s="433"/>
    </row>
    <row r="1456" ht="12.75">
      <c r="N1456" s="433"/>
    </row>
    <row r="1457" ht="12.75">
      <c r="N1457" s="433"/>
    </row>
    <row r="1458" ht="12.75">
      <c r="N1458" s="433"/>
    </row>
    <row r="1459" ht="12.75">
      <c r="N1459" s="433"/>
    </row>
    <row r="1460" ht="12.75">
      <c r="N1460" s="433"/>
    </row>
    <row r="1461" ht="12.75">
      <c r="N1461" s="433"/>
    </row>
    <row r="1462" ht="12.75">
      <c r="N1462" s="433"/>
    </row>
    <row r="1463" ht="12.75">
      <c r="N1463" s="433"/>
    </row>
    <row r="1464" ht="12.75">
      <c r="N1464" s="433"/>
    </row>
    <row r="1465" ht="12.75">
      <c r="N1465" s="433"/>
    </row>
    <row r="1466" ht="12.75">
      <c r="N1466" s="433"/>
    </row>
    <row r="1467" ht="12.75">
      <c r="N1467" s="433"/>
    </row>
    <row r="1468" ht="12.75">
      <c r="N1468" s="433"/>
    </row>
    <row r="1469" ht="12.75">
      <c r="N1469" s="433"/>
    </row>
    <row r="1470" ht="12.75">
      <c r="N1470" s="433"/>
    </row>
    <row r="1471" ht="12.75">
      <c r="N1471" s="433"/>
    </row>
    <row r="1472" ht="12.75">
      <c r="N1472" s="433"/>
    </row>
    <row r="1473" ht="12.75">
      <c r="N1473" s="433"/>
    </row>
    <row r="1474" ht="12.75">
      <c r="N1474" s="433"/>
    </row>
    <row r="1475" ht="12.75">
      <c r="N1475" s="433"/>
    </row>
    <row r="1476" ht="12.75">
      <c r="N1476" s="433"/>
    </row>
    <row r="1477" ht="12.75">
      <c r="N1477" s="433"/>
    </row>
    <row r="1478" ht="12.75">
      <c r="N1478" s="433"/>
    </row>
    <row r="1479" ht="12.75">
      <c r="N1479" s="433"/>
    </row>
    <row r="1480" ht="12.75">
      <c r="N1480" s="433"/>
    </row>
    <row r="1481" ht="12.75">
      <c r="N1481" s="433"/>
    </row>
    <row r="1482" ht="12.75">
      <c r="N1482" s="433"/>
    </row>
    <row r="1483" ht="12.75">
      <c r="N1483" s="433"/>
    </row>
    <row r="1484" ht="12.75">
      <c r="N1484" s="433"/>
    </row>
    <row r="1485" ht="12.75">
      <c r="N1485" s="433"/>
    </row>
    <row r="1486" ht="12.75">
      <c r="N1486" s="433"/>
    </row>
    <row r="1487" ht="12.75">
      <c r="N1487" s="433"/>
    </row>
    <row r="1488" ht="12.75">
      <c r="N1488" s="433"/>
    </row>
    <row r="1489" ht="12.75">
      <c r="N1489" s="433"/>
    </row>
    <row r="1490" ht="12.75">
      <c r="N1490" s="433"/>
    </row>
    <row r="1491" ht="12.75">
      <c r="N1491" s="433"/>
    </row>
    <row r="1492" ht="12.75">
      <c r="N1492" s="433"/>
    </row>
    <row r="1493" ht="12.75">
      <c r="N1493" s="433"/>
    </row>
    <row r="1494" ht="12.75">
      <c r="N1494" s="433"/>
    </row>
    <row r="1495" ht="12.75">
      <c r="N1495" s="433"/>
    </row>
    <row r="1496" ht="12.75">
      <c r="N1496" s="433"/>
    </row>
    <row r="1497" ht="12.75">
      <c r="N1497" s="433"/>
    </row>
    <row r="1498" ht="12.75">
      <c r="N1498" s="433"/>
    </row>
    <row r="1499" ht="12.75">
      <c r="N1499" s="433"/>
    </row>
    <row r="1500" ht="12.75">
      <c r="N1500" s="433"/>
    </row>
    <row r="1501" ht="12.75">
      <c r="N1501" s="433"/>
    </row>
    <row r="1502" ht="12.75">
      <c r="N1502" s="433"/>
    </row>
    <row r="1503" ht="12.75">
      <c r="N1503" s="433"/>
    </row>
    <row r="1504" ht="12.75">
      <c r="N1504" s="433"/>
    </row>
    <row r="1505" ht="12.75">
      <c r="N1505" s="433"/>
    </row>
    <row r="1506" ht="12.75">
      <c r="N1506" s="433"/>
    </row>
    <row r="1507" ht="12.75">
      <c r="N1507" s="433"/>
    </row>
    <row r="1508" ht="12.75">
      <c r="N1508" s="433"/>
    </row>
    <row r="1509" ht="12.75">
      <c r="N1509" s="433"/>
    </row>
    <row r="1510" ht="12.75">
      <c r="N1510" s="433"/>
    </row>
    <row r="1511" ht="12.75">
      <c r="N1511" s="433"/>
    </row>
    <row r="1512" ht="12.75">
      <c r="N1512" s="433"/>
    </row>
    <row r="1513" ht="12.75">
      <c r="N1513" s="433"/>
    </row>
    <row r="1514" ht="12.75">
      <c r="N1514" s="433"/>
    </row>
    <row r="1515" ht="12.75">
      <c r="N1515" s="433"/>
    </row>
    <row r="1516" ht="12.75">
      <c r="N1516" s="433"/>
    </row>
    <row r="1517" ht="12.75">
      <c r="N1517" s="433"/>
    </row>
    <row r="1518" ht="12.75">
      <c r="N1518" s="433"/>
    </row>
    <row r="1519" ht="12.75">
      <c r="N1519" s="433"/>
    </row>
    <row r="1520" ht="12.75">
      <c r="N1520" s="433"/>
    </row>
    <row r="1521" ht="12.75">
      <c r="N1521" s="433"/>
    </row>
    <row r="1522" ht="12.75">
      <c r="N1522" s="433"/>
    </row>
    <row r="1523" ht="12.75">
      <c r="N1523" s="433"/>
    </row>
    <row r="1524" ht="12.75">
      <c r="N1524" s="433"/>
    </row>
    <row r="1525" ht="12.75">
      <c r="N1525" s="433"/>
    </row>
    <row r="1526" ht="12.75">
      <c r="N1526" s="433"/>
    </row>
    <row r="1527" ht="12.75">
      <c r="N1527" s="433"/>
    </row>
    <row r="1528" ht="12.75">
      <c r="N1528" s="433"/>
    </row>
    <row r="1529" ht="12.75">
      <c r="N1529" s="433"/>
    </row>
    <row r="1530" ht="12.75">
      <c r="N1530" s="433"/>
    </row>
    <row r="1531" ht="12.75">
      <c r="N1531" s="433"/>
    </row>
    <row r="1532" ht="12.75">
      <c r="N1532" s="433"/>
    </row>
    <row r="1533" ht="12.75">
      <c r="N1533" s="433"/>
    </row>
    <row r="1534" ht="12.75">
      <c r="N1534" s="433"/>
    </row>
    <row r="1535" ht="12.75">
      <c r="N1535" s="433"/>
    </row>
    <row r="1536" ht="12.75">
      <c r="N1536" s="433"/>
    </row>
    <row r="1537" ht="12.75">
      <c r="N1537" s="433"/>
    </row>
    <row r="1538" ht="12.75">
      <c r="N1538" s="433"/>
    </row>
    <row r="1539" ht="12.75">
      <c r="N1539" s="433"/>
    </row>
    <row r="1540" ht="12.75">
      <c r="N1540" s="433"/>
    </row>
    <row r="1541" ht="12.75">
      <c r="N1541" s="433"/>
    </row>
    <row r="1542" ht="12.75">
      <c r="N1542" s="433"/>
    </row>
    <row r="1543" ht="12.75">
      <c r="N1543" s="433"/>
    </row>
    <row r="1544" ht="12.75">
      <c r="N1544" s="433"/>
    </row>
    <row r="1545" ht="12.75">
      <c r="N1545" s="433"/>
    </row>
    <row r="1546" ht="12.75">
      <c r="N1546" s="433"/>
    </row>
    <row r="1547" ht="12.75">
      <c r="N1547" s="433"/>
    </row>
    <row r="1548" ht="12.75">
      <c r="N1548" s="433"/>
    </row>
    <row r="1549" ht="12.75">
      <c r="N1549" s="433"/>
    </row>
    <row r="1550" ht="12.75">
      <c r="N1550" s="433"/>
    </row>
    <row r="1551" ht="12.75">
      <c r="N1551" s="433"/>
    </row>
    <row r="1552" ht="12.75">
      <c r="N1552" s="433"/>
    </row>
    <row r="1553" ht="12.75">
      <c r="N1553" s="433"/>
    </row>
    <row r="1554" ht="12.75">
      <c r="N1554" s="433"/>
    </row>
    <row r="1555" ht="12.75">
      <c r="N1555" s="433"/>
    </row>
    <row r="1556" ht="12.75">
      <c r="N1556" s="433"/>
    </row>
    <row r="1557" ht="12.75">
      <c r="N1557" s="433"/>
    </row>
    <row r="1558" ht="12.75">
      <c r="N1558" s="433"/>
    </row>
    <row r="1559" ht="12.75">
      <c r="N1559" s="433"/>
    </row>
    <row r="1560" ht="12.75">
      <c r="N1560" s="433"/>
    </row>
    <row r="1561" ht="12.75">
      <c r="N1561" s="433"/>
    </row>
    <row r="1562" ht="12.75">
      <c r="N1562" s="433"/>
    </row>
    <row r="1563" ht="12.75">
      <c r="N1563" s="433"/>
    </row>
    <row r="1564" ht="12.75">
      <c r="N1564" s="433"/>
    </row>
    <row r="1565" ht="12.75">
      <c r="N1565" s="433"/>
    </row>
    <row r="1566" ht="12.75">
      <c r="N1566" s="433"/>
    </row>
    <row r="1567" ht="12.75">
      <c r="N1567" s="433"/>
    </row>
    <row r="1568" ht="12.75">
      <c r="N1568" s="433"/>
    </row>
    <row r="1569" ht="12.75">
      <c r="N1569" s="433"/>
    </row>
    <row r="1570" ht="12.75">
      <c r="N1570" s="433"/>
    </row>
    <row r="1571" ht="12.75">
      <c r="N1571" s="433"/>
    </row>
    <row r="1572" ht="12.75">
      <c r="N1572" s="433"/>
    </row>
    <row r="1573" ht="12.75">
      <c r="N1573" s="433"/>
    </row>
    <row r="1574" ht="12.75">
      <c r="N1574" s="433"/>
    </row>
    <row r="1575" ht="12.75">
      <c r="N1575" s="433"/>
    </row>
    <row r="1576" ht="12.75">
      <c r="N1576" s="433"/>
    </row>
    <row r="1577" ht="12.75">
      <c r="N1577" s="433"/>
    </row>
    <row r="1578" ht="12.75">
      <c r="N1578" s="433"/>
    </row>
    <row r="1579" ht="12.75">
      <c r="N1579" s="433"/>
    </row>
    <row r="1580" ht="12.75">
      <c r="N1580" s="433"/>
    </row>
    <row r="1581" ht="12.75">
      <c r="N1581" s="433"/>
    </row>
    <row r="1582" ht="12.75">
      <c r="N1582" s="433"/>
    </row>
    <row r="1583" ht="12.75">
      <c r="N1583" s="433"/>
    </row>
    <row r="1584" ht="12.75">
      <c r="N1584" s="433"/>
    </row>
    <row r="1585" ht="12.75">
      <c r="N1585" s="433"/>
    </row>
    <row r="1586" ht="12.75">
      <c r="N1586" s="433"/>
    </row>
    <row r="1587" ht="12.75">
      <c r="N1587" s="433"/>
    </row>
    <row r="1588" ht="12.75">
      <c r="N1588" s="433"/>
    </row>
    <row r="1589" ht="12.75">
      <c r="N1589" s="433"/>
    </row>
    <row r="1590" ht="12.75">
      <c r="N1590" s="433"/>
    </row>
    <row r="1591" ht="12.75">
      <c r="N1591" s="433"/>
    </row>
    <row r="1592" ht="12.75">
      <c r="N1592" s="433"/>
    </row>
    <row r="1593" ht="12.75">
      <c r="N1593" s="433"/>
    </row>
    <row r="1594" ht="12.75">
      <c r="N1594" s="433"/>
    </row>
    <row r="1595" ht="12.75">
      <c r="N1595" s="433"/>
    </row>
    <row r="1596" ht="12.75">
      <c r="N1596" s="433"/>
    </row>
    <row r="1597" ht="12.75">
      <c r="N1597" s="433"/>
    </row>
    <row r="1598" ht="12.75">
      <c r="N1598" s="433"/>
    </row>
    <row r="1599" ht="12.75">
      <c r="N1599" s="433"/>
    </row>
    <row r="1600" ht="12.75">
      <c r="N1600" s="433"/>
    </row>
    <row r="1601" ht="12.75">
      <c r="N1601" s="433"/>
    </row>
    <row r="1602" ht="12.75">
      <c r="N1602" s="433"/>
    </row>
    <row r="1603" ht="12.75">
      <c r="N1603" s="433"/>
    </row>
    <row r="1604" ht="12.75">
      <c r="N1604" s="433"/>
    </row>
    <row r="1605" ht="12.75">
      <c r="N1605" s="433"/>
    </row>
    <row r="1606" ht="12.75">
      <c r="N1606" s="433"/>
    </row>
    <row r="1607" ht="12.75">
      <c r="N1607" s="433"/>
    </row>
    <row r="1608" ht="12.75">
      <c r="N1608" s="433"/>
    </row>
    <row r="1609" ht="12.75">
      <c r="N1609" s="433"/>
    </row>
    <row r="1610" ht="12.75">
      <c r="N1610" s="433"/>
    </row>
    <row r="1611" ht="12.75">
      <c r="N1611" s="433"/>
    </row>
    <row r="1612" ht="12.75">
      <c r="N1612" s="433"/>
    </row>
    <row r="1613" ht="12.75">
      <c r="N1613" s="433"/>
    </row>
    <row r="1614" ht="12.75">
      <c r="N1614" s="433"/>
    </row>
    <row r="1615" ht="12.75">
      <c r="N1615" s="433"/>
    </row>
    <row r="1616" ht="12.75">
      <c r="N1616" s="433"/>
    </row>
    <row r="1617" ht="12.75">
      <c r="N1617" s="433"/>
    </row>
    <row r="1618" ht="12.75">
      <c r="N1618" s="433"/>
    </row>
    <row r="1619" ht="12.75">
      <c r="N1619" s="433"/>
    </row>
    <row r="1620" ht="12.75">
      <c r="N1620" s="433"/>
    </row>
    <row r="1621" ht="12.75">
      <c r="N1621" s="433"/>
    </row>
    <row r="1622" ht="12.75">
      <c r="N1622" s="433"/>
    </row>
    <row r="1623" ht="12.75">
      <c r="N1623" s="433"/>
    </row>
    <row r="1624" ht="12.75">
      <c r="N1624" s="433"/>
    </row>
    <row r="1625" ht="12.75">
      <c r="N1625" s="433"/>
    </row>
    <row r="1626" ht="12.75">
      <c r="N1626" s="433"/>
    </row>
    <row r="1627" ht="12.75">
      <c r="N1627" s="433"/>
    </row>
    <row r="1628" ht="12.75">
      <c r="N1628" s="433"/>
    </row>
    <row r="1629" ht="12.75">
      <c r="N1629" s="433"/>
    </row>
    <row r="1630" ht="12.75">
      <c r="N1630" s="433"/>
    </row>
    <row r="1631" ht="12.75">
      <c r="N1631" s="433"/>
    </row>
    <row r="1632" ht="12.75">
      <c r="N1632" s="433"/>
    </row>
    <row r="1633" ht="12.75">
      <c r="N1633" s="433"/>
    </row>
    <row r="1634" ht="12.75">
      <c r="N1634" s="433"/>
    </row>
    <row r="1635" ht="12.75">
      <c r="N1635" s="433"/>
    </row>
    <row r="1636" ht="12.75">
      <c r="N1636" s="433"/>
    </row>
    <row r="1637" ht="12.75">
      <c r="N1637" s="433"/>
    </row>
    <row r="1638" ht="12.75">
      <c r="N1638" s="433"/>
    </row>
    <row r="1639" ht="12.75">
      <c r="N1639" s="433"/>
    </row>
    <row r="1640" ht="12.75">
      <c r="N1640" s="433"/>
    </row>
    <row r="1641" ht="12.75">
      <c r="N1641" s="433"/>
    </row>
    <row r="1642" ht="12.75">
      <c r="N1642" s="433"/>
    </row>
    <row r="1643" ht="12.75">
      <c r="N1643" s="433"/>
    </row>
    <row r="1644" ht="12.75">
      <c r="N1644" s="433"/>
    </row>
    <row r="1645" ht="12.75">
      <c r="N1645" s="433"/>
    </row>
    <row r="1646" ht="12.75">
      <c r="N1646" s="433"/>
    </row>
    <row r="1647" ht="12.75">
      <c r="N1647" s="433"/>
    </row>
    <row r="1648" ht="12.75">
      <c r="N1648" s="433"/>
    </row>
    <row r="1649" ht="12.75">
      <c r="N1649" s="433"/>
    </row>
    <row r="1650" ht="12.75">
      <c r="N1650" s="433"/>
    </row>
    <row r="1651" ht="12.75">
      <c r="N1651" s="433"/>
    </row>
    <row r="1652" ht="12.75">
      <c r="N1652" s="433"/>
    </row>
    <row r="1653" ht="12.75">
      <c r="N1653" s="433"/>
    </row>
    <row r="1654" ht="12.75">
      <c r="N1654" s="433"/>
    </row>
    <row r="1655" ht="12.75">
      <c r="N1655" s="433"/>
    </row>
    <row r="1656" ht="12.75">
      <c r="N1656" s="433"/>
    </row>
    <row r="1657" ht="12.75">
      <c r="N1657" s="433"/>
    </row>
    <row r="1658" ht="12.75">
      <c r="N1658" s="433"/>
    </row>
    <row r="1659" ht="12.75">
      <c r="N1659" s="433"/>
    </row>
    <row r="1660" ht="12.75">
      <c r="N1660" s="433"/>
    </row>
    <row r="1661" ht="12.75">
      <c r="N1661" s="433"/>
    </row>
    <row r="1662" ht="12.75">
      <c r="N1662" s="433"/>
    </row>
    <row r="1663" ht="12.75">
      <c r="N1663" s="433"/>
    </row>
    <row r="1664" ht="12.75">
      <c r="N1664" s="433"/>
    </row>
    <row r="1665" ht="12.75">
      <c r="N1665" s="433"/>
    </row>
    <row r="1666" ht="12.75">
      <c r="N1666" s="433"/>
    </row>
    <row r="1667" ht="12.75">
      <c r="N1667" s="433"/>
    </row>
    <row r="1668" ht="12.75">
      <c r="N1668" s="433"/>
    </row>
    <row r="1669" ht="12.75">
      <c r="N1669" s="433"/>
    </row>
    <row r="1670" ht="12.75">
      <c r="N1670" s="433"/>
    </row>
    <row r="1671" ht="12.75">
      <c r="N1671" s="433"/>
    </row>
    <row r="1672" ht="12.75">
      <c r="N1672" s="433"/>
    </row>
    <row r="1673" ht="12.75">
      <c r="N1673" s="433"/>
    </row>
    <row r="1674" ht="12.75">
      <c r="N1674" s="433"/>
    </row>
    <row r="1675" ht="12.75">
      <c r="N1675" s="433"/>
    </row>
    <row r="1676" ht="12.75">
      <c r="N1676" s="433"/>
    </row>
    <row r="1677" ht="12.75">
      <c r="N1677" s="433"/>
    </row>
    <row r="1678" ht="12.75">
      <c r="N1678" s="433"/>
    </row>
    <row r="1679" ht="12.75">
      <c r="N1679" s="433"/>
    </row>
    <row r="1680" ht="12.75">
      <c r="N1680" s="433"/>
    </row>
    <row r="1681" ht="12.75">
      <c r="N1681" s="433"/>
    </row>
    <row r="1682" ht="12.75">
      <c r="N1682" s="433"/>
    </row>
    <row r="1683" ht="12.75">
      <c r="N1683" s="433"/>
    </row>
    <row r="1684" ht="12.75">
      <c r="N1684" s="433"/>
    </row>
    <row r="1685" ht="12.75">
      <c r="N1685" s="433"/>
    </row>
    <row r="1686" ht="12.75">
      <c r="N1686" s="433"/>
    </row>
    <row r="1687" ht="12.75">
      <c r="N1687" s="433"/>
    </row>
    <row r="1688" ht="12.75">
      <c r="N1688" s="433"/>
    </row>
    <row r="1689" ht="12.75">
      <c r="N1689" s="433"/>
    </row>
    <row r="1690" ht="12.75">
      <c r="N1690" s="433"/>
    </row>
    <row r="1691" ht="12.75">
      <c r="N1691" s="433"/>
    </row>
    <row r="1692" ht="12.75">
      <c r="N1692" s="433"/>
    </row>
    <row r="1693" ht="12.75">
      <c r="N1693" s="433"/>
    </row>
    <row r="1694" ht="12.75">
      <c r="N1694" s="433"/>
    </row>
    <row r="1695" ht="12.75">
      <c r="N1695" s="433"/>
    </row>
    <row r="1696" ht="12.75">
      <c r="N1696" s="433"/>
    </row>
    <row r="1697" ht="12.75">
      <c r="N1697" s="433"/>
    </row>
    <row r="1698" ht="12.75">
      <c r="N1698" s="433"/>
    </row>
    <row r="1699" ht="12.75">
      <c r="N1699" s="433"/>
    </row>
    <row r="1700" ht="12.75">
      <c r="N1700" s="433"/>
    </row>
    <row r="1701" ht="12.75">
      <c r="N1701" s="433"/>
    </row>
    <row r="1702" ht="12.75">
      <c r="N1702" s="433"/>
    </row>
    <row r="1703" ht="12.75">
      <c r="N1703" s="433"/>
    </row>
    <row r="1704" ht="12.75">
      <c r="N1704" s="433"/>
    </row>
    <row r="1705" ht="12.75">
      <c r="N1705" s="433"/>
    </row>
    <row r="1706" ht="12.75">
      <c r="N1706" s="433"/>
    </row>
    <row r="1707" ht="12.75">
      <c r="N1707" s="433"/>
    </row>
    <row r="1708" ht="12.75">
      <c r="N1708" s="433"/>
    </row>
    <row r="1709" ht="12.75">
      <c r="N1709" s="433"/>
    </row>
    <row r="1710" ht="12.75">
      <c r="N1710" s="433"/>
    </row>
    <row r="1711" ht="12.75">
      <c r="N1711" s="433"/>
    </row>
    <row r="1712" ht="12.75">
      <c r="N1712" s="433"/>
    </row>
    <row r="1713" ht="12.75">
      <c r="N1713" s="433"/>
    </row>
    <row r="1714" ht="12.75">
      <c r="N1714" s="433"/>
    </row>
    <row r="1715" ht="12.75">
      <c r="N1715" s="433"/>
    </row>
    <row r="1716" ht="12.75">
      <c r="N1716" s="433"/>
    </row>
    <row r="1717" ht="12.75">
      <c r="N1717" s="433"/>
    </row>
    <row r="1718" ht="12.75">
      <c r="N1718" s="433"/>
    </row>
    <row r="1719" ht="12.75">
      <c r="N1719" s="433"/>
    </row>
    <row r="1720" ht="12.75">
      <c r="N1720" s="433"/>
    </row>
    <row r="1721" ht="12.75">
      <c r="N1721" s="433"/>
    </row>
    <row r="1722" ht="12.75">
      <c r="N1722" s="433"/>
    </row>
    <row r="1723" ht="12.75">
      <c r="N1723" s="433"/>
    </row>
    <row r="1724" ht="12.75">
      <c r="N1724" s="433"/>
    </row>
    <row r="1725" ht="12.75">
      <c r="N1725" s="433"/>
    </row>
    <row r="1726" ht="12.75">
      <c r="N1726" s="433"/>
    </row>
    <row r="1727" ht="12.75">
      <c r="N1727" s="433"/>
    </row>
    <row r="1728" ht="12.75">
      <c r="N1728" s="433"/>
    </row>
    <row r="1729" ht="12.75">
      <c r="N1729" s="433"/>
    </row>
    <row r="1730" ht="12.75">
      <c r="N1730" s="433"/>
    </row>
    <row r="1731" ht="12.75">
      <c r="N1731" s="433"/>
    </row>
    <row r="1732" ht="12.75">
      <c r="N1732" s="433"/>
    </row>
    <row r="1733" ht="12.75">
      <c r="N1733" s="433"/>
    </row>
    <row r="1734" ht="12.75">
      <c r="N1734" s="433"/>
    </row>
    <row r="1735" ht="12.75">
      <c r="N1735" s="433"/>
    </row>
    <row r="1736" ht="12.75">
      <c r="N1736" s="433"/>
    </row>
    <row r="1737" ht="12.75">
      <c r="N1737" s="433"/>
    </row>
    <row r="1738" ht="12.75">
      <c r="N1738" s="433"/>
    </row>
    <row r="1739" ht="12.75">
      <c r="N1739" s="433"/>
    </row>
    <row r="1740" ht="12.75">
      <c r="N1740" s="433"/>
    </row>
    <row r="1741" ht="12.75">
      <c r="N1741" s="433"/>
    </row>
    <row r="1742" ht="12.75">
      <c r="N1742" s="433"/>
    </row>
    <row r="1743" ht="12.75">
      <c r="N1743" s="433"/>
    </row>
    <row r="1744" ht="12.75">
      <c r="N1744" s="433"/>
    </row>
    <row r="1745" ht="12.75">
      <c r="N1745" s="433"/>
    </row>
    <row r="1746" ht="12.75">
      <c r="N1746" s="433"/>
    </row>
    <row r="1747" ht="12.75">
      <c r="N1747" s="433"/>
    </row>
    <row r="1748" ht="12.75">
      <c r="N1748" s="433"/>
    </row>
    <row r="1749" ht="12.75">
      <c r="N1749" s="433"/>
    </row>
    <row r="1750" ht="12.75">
      <c r="N1750" s="433"/>
    </row>
    <row r="1751" ht="12.75">
      <c r="N1751" s="433"/>
    </row>
    <row r="1752" ht="12.75">
      <c r="N1752" s="433"/>
    </row>
    <row r="1753" ht="12.75">
      <c r="N1753" s="433"/>
    </row>
    <row r="1754" ht="12.75">
      <c r="N1754" s="433"/>
    </row>
    <row r="1755" ht="12.75">
      <c r="N1755" s="433"/>
    </row>
    <row r="1756" ht="12.75">
      <c r="N1756" s="433"/>
    </row>
    <row r="1757" ht="12.75">
      <c r="N1757" s="433"/>
    </row>
    <row r="1758" ht="12.75">
      <c r="N1758" s="433"/>
    </row>
    <row r="1759" ht="12.75">
      <c r="N1759" s="433"/>
    </row>
    <row r="1760" ht="12.75">
      <c r="N1760" s="433"/>
    </row>
    <row r="1761" ht="12.75">
      <c r="N1761" s="433"/>
    </row>
    <row r="1762" ht="12.75">
      <c r="N1762" s="433"/>
    </row>
    <row r="1763" ht="12.75">
      <c r="N1763" s="433"/>
    </row>
    <row r="1764" ht="12.75">
      <c r="N1764" s="433"/>
    </row>
    <row r="1765" ht="12.75">
      <c r="N1765" s="433"/>
    </row>
    <row r="1766" ht="12.75">
      <c r="N1766" s="433"/>
    </row>
    <row r="1767" ht="12.75">
      <c r="N1767" s="433"/>
    </row>
    <row r="1768" ht="12.75">
      <c r="N1768" s="433"/>
    </row>
    <row r="1769" ht="12.75">
      <c r="N1769" s="433"/>
    </row>
    <row r="1770" ht="12.75">
      <c r="N1770" s="433"/>
    </row>
    <row r="1771" ht="12.75">
      <c r="N1771" s="433"/>
    </row>
    <row r="1772" ht="12.75">
      <c r="N1772" s="433"/>
    </row>
    <row r="1773" ht="12.75">
      <c r="N1773" s="433"/>
    </row>
    <row r="1774" ht="12.75">
      <c r="N1774" s="433"/>
    </row>
    <row r="1775" ht="12.75">
      <c r="N1775" s="433"/>
    </row>
    <row r="1776" ht="12.75">
      <c r="N1776" s="433"/>
    </row>
    <row r="1777" ht="12.75">
      <c r="N1777" s="433"/>
    </row>
    <row r="1778" ht="12.75">
      <c r="N1778" s="433"/>
    </row>
    <row r="1779" ht="12.75">
      <c r="N1779" s="433"/>
    </row>
    <row r="1780" ht="12.75">
      <c r="N1780" s="433"/>
    </row>
    <row r="1781" ht="12.75">
      <c r="N1781" s="433"/>
    </row>
    <row r="1782" ht="12.75">
      <c r="N1782" s="433"/>
    </row>
    <row r="1783" ht="12.75">
      <c r="N1783" s="433"/>
    </row>
    <row r="1784" ht="12.75">
      <c r="N1784" s="433"/>
    </row>
    <row r="1785" ht="12.75">
      <c r="N1785" s="433"/>
    </row>
    <row r="1786" ht="12.75">
      <c r="N1786" s="433"/>
    </row>
    <row r="1787" ht="12.75">
      <c r="N1787" s="433"/>
    </row>
    <row r="1788" ht="12.75">
      <c r="N1788" s="433"/>
    </row>
    <row r="1789" ht="12.75">
      <c r="N1789" s="433"/>
    </row>
    <row r="1790" ht="12.75">
      <c r="N1790" s="433"/>
    </row>
    <row r="1791" ht="12.75">
      <c r="N1791" s="433"/>
    </row>
    <row r="1792" ht="12.75">
      <c r="N1792" s="433"/>
    </row>
    <row r="1793" ht="12.75">
      <c r="N1793" s="433"/>
    </row>
    <row r="1794" ht="12.75">
      <c r="N1794" s="433"/>
    </row>
    <row r="1795" ht="12.75">
      <c r="N1795" s="433"/>
    </row>
    <row r="1796" ht="12.75">
      <c r="N1796" s="433"/>
    </row>
    <row r="1797" ht="12.75">
      <c r="N1797" s="433"/>
    </row>
    <row r="1798" ht="12.75">
      <c r="N1798" s="433"/>
    </row>
    <row r="1799" ht="12.75">
      <c r="N1799" s="433"/>
    </row>
    <row r="1800" ht="12.75">
      <c r="N1800" s="433"/>
    </row>
    <row r="1801" ht="12.75">
      <c r="N1801" s="433"/>
    </row>
    <row r="1802" ht="12.75">
      <c r="N1802" s="433"/>
    </row>
    <row r="1803" ht="12.75">
      <c r="N1803" s="433"/>
    </row>
    <row r="1804" ht="12.75">
      <c r="N1804" s="433"/>
    </row>
    <row r="1805" ht="12.75">
      <c r="N1805" s="433"/>
    </row>
    <row r="1806" ht="12.75">
      <c r="N1806" s="433"/>
    </row>
    <row r="1807" ht="12.75">
      <c r="N1807" s="433"/>
    </row>
    <row r="1808" ht="12.75">
      <c r="N1808" s="433"/>
    </row>
    <row r="1809" ht="12.75">
      <c r="N1809" s="433"/>
    </row>
    <row r="1810" ht="12.75">
      <c r="N1810" s="433"/>
    </row>
    <row r="1811" ht="12.75">
      <c r="N1811" s="433"/>
    </row>
    <row r="1812" ht="12.75">
      <c r="N1812" s="433"/>
    </row>
    <row r="1813" ht="12.75">
      <c r="N1813" s="433"/>
    </row>
    <row r="1814" ht="12.75">
      <c r="N1814" s="433"/>
    </row>
    <row r="1815" ht="12.75">
      <c r="N1815" s="433"/>
    </row>
    <row r="1816" ht="12.75">
      <c r="N1816" s="433"/>
    </row>
    <row r="1817" ht="12.75">
      <c r="N1817" s="433"/>
    </row>
    <row r="1818" ht="12.75">
      <c r="N1818" s="433"/>
    </row>
    <row r="1819" ht="12.75">
      <c r="N1819" s="433"/>
    </row>
    <row r="1820" ht="12.75">
      <c r="N1820" s="433"/>
    </row>
    <row r="1821" ht="12.75">
      <c r="N1821" s="433"/>
    </row>
    <row r="1822" ht="12.75">
      <c r="N1822" s="433"/>
    </row>
    <row r="1823" ht="12.75">
      <c r="N1823" s="433"/>
    </row>
    <row r="1824" ht="12.75">
      <c r="N1824" s="433"/>
    </row>
    <row r="1825" ht="12.75">
      <c r="N1825" s="433"/>
    </row>
    <row r="1826" ht="12.75">
      <c r="N1826" s="433"/>
    </row>
    <row r="1827" ht="12.75">
      <c r="N1827" s="433"/>
    </row>
    <row r="1828" ht="12.75">
      <c r="N1828" s="433"/>
    </row>
    <row r="1829" ht="12.75">
      <c r="N1829" s="433"/>
    </row>
    <row r="1830" ht="12.75">
      <c r="N1830" s="433"/>
    </row>
    <row r="1831" ht="12.75">
      <c r="N1831" s="433"/>
    </row>
    <row r="1832" ht="12.75">
      <c r="N1832" s="433"/>
    </row>
    <row r="1833" ht="12.75">
      <c r="N1833" s="433"/>
    </row>
    <row r="1834" ht="12.75">
      <c r="N1834" s="433"/>
    </row>
    <row r="1835" ht="12.75">
      <c r="N1835" s="433"/>
    </row>
    <row r="1836" ht="12.75">
      <c r="N1836" s="433"/>
    </row>
    <row r="1837" ht="12.75">
      <c r="N1837" s="433"/>
    </row>
    <row r="1838" ht="12.75">
      <c r="N1838" s="433"/>
    </row>
    <row r="1839" ht="12.75">
      <c r="N1839" s="433"/>
    </row>
    <row r="1840" ht="12.75">
      <c r="N1840" s="433"/>
    </row>
    <row r="1841" ht="12.75">
      <c r="N1841" s="433"/>
    </row>
    <row r="1842" ht="12.75">
      <c r="N1842" s="433"/>
    </row>
    <row r="1843" ht="12.75">
      <c r="N1843" s="433"/>
    </row>
    <row r="1844" ht="12.75">
      <c r="N1844" s="433"/>
    </row>
    <row r="1845" ht="12.75">
      <c r="N1845" s="433"/>
    </row>
    <row r="1846" ht="12.75">
      <c r="N1846" s="433"/>
    </row>
    <row r="1847" ht="12.75">
      <c r="N1847" s="433"/>
    </row>
    <row r="1848" ht="12.75">
      <c r="N1848" s="433"/>
    </row>
    <row r="1849" ht="12.75">
      <c r="N1849" s="433"/>
    </row>
    <row r="1850" ht="12.75">
      <c r="N1850" s="433"/>
    </row>
    <row r="1851" ht="12.75">
      <c r="N1851" s="433"/>
    </row>
    <row r="1852" ht="12.75">
      <c r="N1852" s="433"/>
    </row>
    <row r="1853" ht="12.75">
      <c r="N1853" s="433"/>
    </row>
    <row r="1854" ht="12.75">
      <c r="N1854" s="433"/>
    </row>
    <row r="1855" ht="12.75">
      <c r="N1855" s="433"/>
    </row>
    <row r="1856" ht="12.75">
      <c r="N1856" s="433"/>
    </row>
    <row r="1857" ht="12.75">
      <c r="N1857" s="433"/>
    </row>
    <row r="1858" ht="12.75">
      <c r="N1858" s="433"/>
    </row>
    <row r="1859" ht="12.75">
      <c r="N1859" s="433"/>
    </row>
    <row r="1860" ht="12.75">
      <c r="N1860" s="433"/>
    </row>
    <row r="1861" ht="12.75">
      <c r="N1861" s="433"/>
    </row>
    <row r="1862" ht="12.75">
      <c r="N1862" s="433"/>
    </row>
    <row r="1863" ht="12.75">
      <c r="N1863" s="433"/>
    </row>
    <row r="1864" ht="12.75">
      <c r="N1864" s="433"/>
    </row>
    <row r="1865" ht="12.75">
      <c r="N1865" s="433"/>
    </row>
    <row r="1866" ht="12.75">
      <c r="N1866" s="433"/>
    </row>
    <row r="1867" ht="12.75">
      <c r="N1867" s="433"/>
    </row>
    <row r="1868" ht="12.75">
      <c r="N1868" s="433"/>
    </row>
    <row r="1869" ht="12.75">
      <c r="N1869" s="433"/>
    </row>
    <row r="1870" ht="12.75">
      <c r="N1870" s="433"/>
    </row>
    <row r="1871" ht="12.75">
      <c r="N1871" s="433"/>
    </row>
    <row r="1872" ht="12.75">
      <c r="N1872" s="433"/>
    </row>
    <row r="1873" ht="12.75">
      <c r="N1873" s="433"/>
    </row>
    <row r="1874" ht="12.75">
      <c r="N1874" s="433"/>
    </row>
    <row r="1875" ht="12.75">
      <c r="N1875" s="433"/>
    </row>
    <row r="1876" ht="12.75">
      <c r="N1876" s="433"/>
    </row>
    <row r="1877" ht="12.75">
      <c r="N1877" s="433"/>
    </row>
    <row r="1878" ht="12.75">
      <c r="N1878" s="433"/>
    </row>
    <row r="1879" ht="12.75">
      <c r="N1879" s="433"/>
    </row>
    <row r="1880" ht="12.75">
      <c r="N1880" s="433"/>
    </row>
    <row r="1881" ht="12.75">
      <c r="N1881" s="433"/>
    </row>
    <row r="1882" ht="12.75">
      <c r="N1882" s="433"/>
    </row>
    <row r="1883" ht="12.75">
      <c r="N1883" s="433"/>
    </row>
    <row r="1884" ht="12.75">
      <c r="N1884" s="433"/>
    </row>
    <row r="1885" ht="12.75">
      <c r="N1885" s="433"/>
    </row>
    <row r="1886" ht="12.75">
      <c r="N1886" s="433"/>
    </row>
    <row r="1887" ht="12.75">
      <c r="N1887" s="433"/>
    </row>
    <row r="1888" ht="12.75">
      <c r="N1888" s="433"/>
    </row>
    <row r="1889" ht="12.75">
      <c r="N1889" s="433"/>
    </row>
    <row r="1890" ht="12.75">
      <c r="N1890" s="433"/>
    </row>
    <row r="1891" ht="12.75">
      <c r="N1891" s="433"/>
    </row>
    <row r="1892" ht="12.75">
      <c r="N1892" s="433"/>
    </row>
    <row r="1893" ht="12.75">
      <c r="N1893" s="433"/>
    </row>
    <row r="1894" ht="12.75">
      <c r="N1894" s="433"/>
    </row>
    <row r="1895" ht="12.75">
      <c r="N1895" s="433"/>
    </row>
    <row r="1896" ht="12.75">
      <c r="N1896" s="433"/>
    </row>
    <row r="1897" ht="12.75">
      <c r="N1897" s="433"/>
    </row>
    <row r="1898" ht="12.75">
      <c r="N1898" s="433"/>
    </row>
    <row r="1899" ht="12.75">
      <c r="N1899" s="433"/>
    </row>
    <row r="1900" ht="12.75">
      <c r="N1900" s="433"/>
    </row>
    <row r="1901" ht="12.75">
      <c r="N1901" s="433"/>
    </row>
    <row r="1902" ht="12.75">
      <c r="N1902" s="433"/>
    </row>
    <row r="1903" ht="12.75">
      <c r="N1903" s="433"/>
    </row>
    <row r="1904" ht="12.75">
      <c r="N1904" s="433"/>
    </row>
    <row r="1905" ht="12.75">
      <c r="N1905" s="433"/>
    </row>
    <row r="1906" ht="12.75">
      <c r="N1906" s="433"/>
    </row>
    <row r="1907" ht="12.75">
      <c r="N1907" s="433"/>
    </row>
    <row r="1908" ht="12.75">
      <c r="N1908" s="433"/>
    </row>
    <row r="1909" ht="12.75">
      <c r="N1909" s="433"/>
    </row>
    <row r="1910" ht="12.75">
      <c r="N1910" s="433"/>
    </row>
    <row r="1911" ht="12.75">
      <c r="N1911" s="433"/>
    </row>
    <row r="1912" ht="12.75">
      <c r="N1912" s="433"/>
    </row>
    <row r="1913" ht="12.75">
      <c r="N1913" s="433"/>
    </row>
    <row r="1914" ht="12.75">
      <c r="N1914" s="433"/>
    </row>
    <row r="1915" ht="12.75">
      <c r="N1915" s="433"/>
    </row>
    <row r="1916" ht="12.75">
      <c r="N1916" s="433"/>
    </row>
    <row r="1917" ht="12.75">
      <c r="N1917" s="433"/>
    </row>
    <row r="1918" ht="12.75">
      <c r="N1918" s="433"/>
    </row>
    <row r="1919" ht="12.75">
      <c r="N1919" s="433"/>
    </row>
    <row r="1920" ht="12.75">
      <c r="N1920" s="433"/>
    </row>
    <row r="1921" ht="12.75">
      <c r="N1921" s="433"/>
    </row>
    <row r="1922" ht="12.75">
      <c r="N1922" s="433"/>
    </row>
    <row r="1923" ht="12.75">
      <c r="N1923" s="433"/>
    </row>
    <row r="1924" ht="12.75">
      <c r="N1924" s="433"/>
    </row>
    <row r="1925" ht="12.75">
      <c r="N1925" s="433"/>
    </row>
    <row r="1926" ht="12.75">
      <c r="N1926" s="433"/>
    </row>
    <row r="1927" ht="12.75">
      <c r="N1927" s="433"/>
    </row>
    <row r="1928" ht="12.75">
      <c r="N1928" s="433"/>
    </row>
    <row r="1929" ht="12.75">
      <c r="N1929" s="433"/>
    </row>
    <row r="1930" ht="12.75">
      <c r="N1930" s="433"/>
    </row>
    <row r="1931" ht="12.75">
      <c r="N1931" s="433"/>
    </row>
    <row r="1932" ht="12.75">
      <c r="N1932" s="433"/>
    </row>
    <row r="1933" ht="12.75">
      <c r="N1933" s="433"/>
    </row>
    <row r="1934" ht="12.75">
      <c r="N1934" s="433"/>
    </row>
    <row r="1935" ht="12.75">
      <c r="N1935" s="433"/>
    </row>
    <row r="1936" ht="12.75">
      <c r="N1936" s="433"/>
    </row>
    <row r="1937" ht="12.75">
      <c r="N1937" s="433"/>
    </row>
    <row r="1938" ht="12.75">
      <c r="N1938" s="433"/>
    </row>
    <row r="1939" ht="12.75">
      <c r="N1939" s="433"/>
    </row>
    <row r="1940" ht="12.75">
      <c r="N1940" s="433"/>
    </row>
    <row r="1941" ht="12.75">
      <c r="N1941" s="433"/>
    </row>
    <row r="1942" ht="12.75">
      <c r="N1942" s="433"/>
    </row>
    <row r="1943" ht="12.75">
      <c r="N1943" s="433"/>
    </row>
    <row r="1944" ht="12.75">
      <c r="N1944" s="433"/>
    </row>
    <row r="1945" ht="12.75">
      <c r="N1945" s="433"/>
    </row>
    <row r="1946" ht="12.75">
      <c r="N1946" s="433"/>
    </row>
    <row r="1947" ht="12.75">
      <c r="N1947" s="433"/>
    </row>
    <row r="1948" ht="12.75">
      <c r="N1948" s="433"/>
    </row>
    <row r="1949" ht="12.75">
      <c r="N1949" s="433"/>
    </row>
    <row r="1950" ht="12.75">
      <c r="N1950" s="433"/>
    </row>
    <row r="1951" ht="12.75">
      <c r="N1951" s="433"/>
    </row>
    <row r="1952" ht="12.75">
      <c r="N1952" s="433"/>
    </row>
    <row r="1953" ht="12.75">
      <c r="N1953" s="433"/>
    </row>
    <row r="1954" ht="12.75">
      <c r="N1954" s="433"/>
    </row>
    <row r="1955" ht="12.75">
      <c r="N1955" s="433"/>
    </row>
    <row r="1956" ht="12.75">
      <c r="N1956" s="433"/>
    </row>
    <row r="1957" ht="12.75">
      <c r="N1957" s="433"/>
    </row>
    <row r="1958" ht="12.75">
      <c r="N1958" s="433"/>
    </row>
    <row r="1959" ht="12.75">
      <c r="N1959" s="433"/>
    </row>
    <row r="1960" ht="12.75">
      <c r="N1960" s="433"/>
    </row>
    <row r="1961" ht="12.75">
      <c r="N1961" s="433"/>
    </row>
    <row r="1962" ht="12.75">
      <c r="N1962" s="433"/>
    </row>
    <row r="1963" ht="12.75">
      <c r="N1963" s="433"/>
    </row>
    <row r="1964" ht="12.75">
      <c r="N1964" s="433"/>
    </row>
    <row r="1965" ht="12.75">
      <c r="N1965" s="433"/>
    </row>
    <row r="1966" ht="12.75">
      <c r="N1966" s="433"/>
    </row>
    <row r="1967" ht="12.75">
      <c r="N1967" s="433"/>
    </row>
    <row r="1968" ht="12.75">
      <c r="N1968" s="433"/>
    </row>
    <row r="1969" ht="12.75">
      <c r="N1969" s="433"/>
    </row>
    <row r="1970" ht="12.75">
      <c r="N1970" s="433"/>
    </row>
    <row r="1971" ht="12.75">
      <c r="N1971" s="433"/>
    </row>
    <row r="1972" ht="12.75">
      <c r="N1972" s="433"/>
    </row>
    <row r="1973" ht="12.75">
      <c r="N1973" s="433"/>
    </row>
    <row r="1974" ht="12.75">
      <c r="N1974" s="433"/>
    </row>
    <row r="1975" ht="12.75">
      <c r="N1975" s="433"/>
    </row>
    <row r="1976" ht="12.75">
      <c r="N1976" s="433"/>
    </row>
    <row r="1977" ht="12.75">
      <c r="N1977" s="433"/>
    </row>
    <row r="1978" ht="12.75">
      <c r="N1978" s="433"/>
    </row>
    <row r="1979" ht="12.75">
      <c r="N1979" s="433"/>
    </row>
    <row r="1980" ht="12.75">
      <c r="N1980" s="433"/>
    </row>
    <row r="1981" ht="12.75">
      <c r="N1981" s="433"/>
    </row>
    <row r="1982" ht="12.75">
      <c r="N1982" s="433"/>
    </row>
    <row r="1983" ht="12.75">
      <c r="N1983" s="433"/>
    </row>
    <row r="1984" ht="12.75">
      <c r="N1984" s="433"/>
    </row>
    <row r="1985" ht="12.75">
      <c r="N1985" s="433"/>
    </row>
    <row r="1986" ht="12.75">
      <c r="N1986" s="433"/>
    </row>
    <row r="1987" ht="12.75">
      <c r="N1987" s="433"/>
    </row>
    <row r="1988" ht="12.75">
      <c r="N1988" s="433"/>
    </row>
    <row r="1989" ht="12.75">
      <c r="N1989" s="433"/>
    </row>
    <row r="1990" ht="12.75">
      <c r="N1990" s="433"/>
    </row>
    <row r="1991" ht="12.75">
      <c r="N1991" s="433"/>
    </row>
    <row r="1992" ht="12.75">
      <c r="N1992" s="433"/>
    </row>
    <row r="1993" ht="12.75">
      <c r="N1993" s="433"/>
    </row>
    <row r="1994" ht="12.75">
      <c r="N1994" s="433"/>
    </row>
    <row r="1995" ht="12.75">
      <c r="N1995" s="433"/>
    </row>
    <row r="1996" ht="12.75">
      <c r="N1996" s="433"/>
    </row>
    <row r="1997" ht="12.75">
      <c r="N1997" s="433"/>
    </row>
    <row r="1998" ht="12.75">
      <c r="N1998" s="433"/>
    </row>
    <row r="1999" ht="12.75">
      <c r="N1999" s="433"/>
    </row>
    <row r="2000" ht="12.75">
      <c r="N2000" s="433"/>
    </row>
    <row r="2001" ht="12.75">
      <c r="N2001" s="433"/>
    </row>
    <row r="2002" ht="12.75">
      <c r="N2002" s="433"/>
    </row>
    <row r="2003" ht="12.75">
      <c r="N2003" s="433"/>
    </row>
    <row r="2004" ht="12.75">
      <c r="N2004" s="433"/>
    </row>
    <row r="2005" ht="12.75">
      <c r="N2005" s="433"/>
    </row>
    <row r="2006" ht="12.75">
      <c r="N2006" s="433"/>
    </row>
    <row r="2007" ht="12.75">
      <c r="N2007" s="433"/>
    </row>
    <row r="2008" ht="12.75">
      <c r="N2008" s="433"/>
    </row>
    <row r="2009" ht="12.75">
      <c r="N2009" s="433"/>
    </row>
    <row r="2010" ht="12.75">
      <c r="N2010" s="433"/>
    </row>
    <row r="2011" ht="12.75">
      <c r="N2011" s="433"/>
    </row>
    <row r="2012" ht="12.75">
      <c r="N2012" s="433"/>
    </row>
    <row r="2013" ht="12.75">
      <c r="N2013" s="433"/>
    </row>
    <row r="2014" ht="12.75">
      <c r="N2014" s="433"/>
    </row>
    <row r="2015" ht="12.75">
      <c r="N2015" s="433"/>
    </row>
    <row r="2016" ht="12.75">
      <c r="N2016" s="433"/>
    </row>
    <row r="2017" ht="12.75">
      <c r="N2017" s="433"/>
    </row>
    <row r="2018" ht="12.75">
      <c r="N2018" s="433"/>
    </row>
    <row r="2019" ht="12.75">
      <c r="N2019" s="433"/>
    </row>
    <row r="2020" ht="12.75">
      <c r="N2020" s="433"/>
    </row>
    <row r="2021" ht="12.75">
      <c r="N2021" s="433"/>
    </row>
    <row r="2022" ht="12.75">
      <c r="N2022" s="433"/>
    </row>
    <row r="2023" ht="12.75">
      <c r="N2023" s="433"/>
    </row>
    <row r="2024" ht="12.75">
      <c r="N2024" s="433"/>
    </row>
    <row r="2025" ht="12.75">
      <c r="N2025" s="433"/>
    </row>
    <row r="2026" ht="12.75">
      <c r="N2026" s="433"/>
    </row>
    <row r="2027" ht="12.75">
      <c r="N2027" s="433"/>
    </row>
    <row r="2028" ht="12.75">
      <c r="N2028" s="433"/>
    </row>
    <row r="2029" ht="12.75">
      <c r="N2029" s="433"/>
    </row>
    <row r="2030" ht="12.75">
      <c r="N2030" s="433"/>
    </row>
    <row r="2031" ht="12.75">
      <c r="N2031" s="433"/>
    </row>
    <row r="2032" ht="12.75">
      <c r="N2032" s="433"/>
    </row>
    <row r="2033" ht="12.75">
      <c r="N2033" s="433"/>
    </row>
    <row r="2034" ht="12.75">
      <c r="N2034" s="433"/>
    </row>
    <row r="2035" ht="12.75">
      <c r="N2035" s="433"/>
    </row>
    <row r="2036" ht="12.75">
      <c r="N2036" s="433"/>
    </row>
    <row r="2037" ht="12.75">
      <c r="N2037" s="433"/>
    </row>
    <row r="2038" ht="12.75">
      <c r="N2038" s="433"/>
    </row>
    <row r="2039" ht="12.75">
      <c r="N2039" s="433"/>
    </row>
    <row r="2040" ht="12.75">
      <c r="N2040" s="433"/>
    </row>
    <row r="2041" ht="12.75">
      <c r="N2041" s="433"/>
    </row>
    <row r="2042" ht="12.75">
      <c r="N2042" s="433"/>
    </row>
    <row r="2043" ht="12.75">
      <c r="N2043" s="433"/>
    </row>
    <row r="2044" ht="12.75">
      <c r="N2044" s="433"/>
    </row>
    <row r="2045" ht="12.75">
      <c r="N2045" s="433"/>
    </row>
    <row r="2046" ht="12.75">
      <c r="N2046" s="433"/>
    </row>
    <row r="2047" ht="12.75">
      <c r="N2047" s="433"/>
    </row>
    <row r="2048" ht="12.75">
      <c r="N2048" s="433"/>
    </row>
    <row r="2049" ht="12.75">
      <c r="N2049" s="433"/>
    </row>
    <row r="2050" ht="12.75">
      <c r="N2050" s="433"/>
    </row>
    <row r="2051" ht="12.75">
      <c r="N2051" s="433"/>
    </row>
    <row r="2052" ht="12.75">
      <c r="N2052" s="433"/>
    </row>
    <row r="2053" ht="12.75">
      <c r="N2053" s="433"/>
    </row>
    <row r="2054" ht="12.75">
      <c r="N2054" s="433"/>
    </row>
    <row r="2055" ht="12.75">
      <c r="N2055" s="433"/>
    </row>
    <row r="2056" ht="12.75">
      <c r="N2056" s="433"/>
    </row>
    <row r="2057" ht="12.75">
      <c r="N2057" s="433"/>
    </row>
    <row r="2058" ht="12.75">
      <c r="N2058" s="433"/>
    </row>
    <row r="2059" ht="12.75">
      <c r="N2059" s="433"/>
    </row>
    <row r="2060" ht="12.75">
      <c r="N2060" s="433"/>
    </row>
    <row r="2061" ht="12.75">
      <c r="N2061" s="433"/>
    </row>
    <row r="2062" ht="12.75">
      <c r="N2062" s="433"/>
    </row>
    <row r="2063" ht="12.75">
      <c r="N2063" s="433"/>
    </row>
    <row r="2064" ht="12.75">
      <c r="N2064" s="433"/>
    </row>
    <row r="2065" ht="12.75">
      <c r="N2065" s="433"/>
    </row>
    <row r="2066" ht="12.75">
      <c r="N2066" s="433"/>
    </row>
    <row r="2067" ht="12.75">
      <c r="N2067" s="433"/>
    </row>
    <row r="2068" ht="12.75">
      <c r="N2068" s="433"/>
    </row>
    <row r="2069" ht="12.75">
      <c r="N2069" s="433"/>
    </row>
    <row r="2070" ht="12.75">
      <c r="N2070" s="433"/>
    </row>
    <row r="2071" ht="12.75">
      <c r="N2071" s="433"/>
    </row>
    <row r="2072" ht="12.75">
      <c r="N2072" s="433"/>
    </row>
    <row r="2073" ht="12.75">
      <c r="N2073" s="433"/>
    </row>
    <row r="2074" ht="12.75">
      <c r="N2074" s="433"/>
    </row>
    <row r="2075" ht="12.75">
      <c r="N2075" s="433"/>
    </row>
    <row r="2076" ht="12.75">
      <c r="N2076" s="433"/>
    </row>
    <row r="2077" ht="12.75">
      <c r="N2077" s="433"/>
    </row>
    <row r="2078" ht="12.75">
      <c r="N2078" s="433"/>
    </row>
    <row r="2079" ht="12.75">
      <c r="N2079" s="433"/>
    </row>
    <row r="2080" ht="12.75">
      <c r="N2080" s="433"/>
    </row>
    <row r="2081" ht="12.75">
      <c r="N2081" s="433"/>
    </row>
    <row r="2082" ht="12.75">
      <c r="N2082" s="433"/>
    </row>
    <row r="2083" ht="12.75">
      <c r="N2083" s="433"/>
    </row>
    <row r="2084" ht="12.75">
      <c r="N2084" s="433"/>
    </row>
    <row r="2085" ht="12.75">
      <c r="N2085" s="433"/>
    </row>
    <row r="2086" ht="12.75">
      <c r="N2086" s="433"/>
    </row>
    <row r="2087" ht="12.75">
      <c r="N2087" s="433"/>
    </row>
    <row r="2088" ht="12.75">
      <c r="N2088" s="433"/>
    </row>
    <row r="2089" ht="12.75">
      <c r="N2089" s="433"/>
    </row>
    <row r="2090" ht="12.75">
      <c r="N2090" s="433"/>
    </row>
    <row r="2091" ht="12.75">
      <c r="N2091" s="433"/>
    </row>
    <row r="2092" ht="12.75">
      <c r="N2092" s="433"/>
    </row>
    <row r="2093" ht="12.75">
      <c r="N2093" s="433"/>
    </row>
    <row r="2094" ht="12.75">
      <c r="N2094" s="433"/>
    </row>
    <row r="2095" ht="12.75">
      <c r="N2095" s="433"/>
    </row>
    <row r="2096" ht="12.75">
      <c r="N2096" s="433"/>
    </row>
    <row r="2097" ht="12.75">
      <c r="N2097" s="433"/>
    </row>
    <row r="2098" ht="12.75">
      <c r="N2098" s="433"/>
    </row>
    <row r="2099" ht="12.75">
      <c r="N2099" s="433"/>
    </row>
    <row r="2100" ht="12.75">
      <c r="N2100" s="433"/>
    </row>
    <row r="2101" ht="12.75">
      <c r="N2101" s="433"/>
    </row>
    <row r="2102" ht="12.75">
      <c r="N2102" s="433"/>
    </row>
    <row r="2103" ht="12.75">
      <c r="N2103" s="433"/>
    </row>
    <row r="2104" ht="12.75">
      <c r="N2104" s="433"/>
    </row>
    <row r="2105" ht="12.75">
      <c r="N2105" s="433"/>
    </row>
    <row r="2106" ht="12.75">
      <c r="N2106" s="433"/>
    </row>
    <row r="2107" ht="12.75">
      <c r="N2107" s="433"/>
    </row>
    <row r="2108" ht="12.75">
      <c r="N2108" s="433"/>
    </row>
    <row r="2109" ht="12.75">
      <c r="N2109" s="433"/>
    </row>
    <row r="2110" ht="12.75">
      <c r="N2110" s="433"/>
    </row>
    <row r="2111" ht="12.75">
      <c r="N2111" s="433"/>
    </row>
    <row r="2112" ht="12.75">
      <c r="N2112" s="433"/>
    </row>
    <row r="2113" ht="12.75">
      <c r="N2113" s="433"/>
    </row>
    <row r="2114" ht="12.75">
      <c r="N2114" s="433"/>
    </row>
    <row r="2115" ht="12.75">
      <c r="N2115" s="433"/>
    </row>
    <row r="2116" ht="12.75">
      <c r="N2116" s="433"/>
    </row>
    <row r="2117" ht="12.75">
      <c r="N2117" s="433"/>
    </row>
    <row r="2118" ht="12.75">
      <c r="N2118" s="433"/>
    </row>
    <row r="2119" ht="12.75">
      <c r="N2119" s="433"/>
    </row>
    <row r="2120" ht="12.75">
      <c r="N2120" s="433"/>
    </row>
    <row r="2121" ht="12.75">
      <c r="N2121" s="433"/>
    </row>
    <row r="2122" ht="12.75">
      <c r="N2122" s="433"/>
    </row>
    <row r="2123" ht="12.75">
      <c r="N2123" s="433"/>
    </row>
    <row r="2124" ht="12.75">
      <c r="N2124" s="433"/>
    </row>
    <row r="2125" ht="12.75">
      <c r="N2125" s="433"/>
    </row>
    <row r="2126" ht="12.75">
      <c r="N2126" s="433"/>
    </row>
    <row r="2127" ht="12.75">
      <c r="N2127" s="433"/>
    </row>
    <row r="2128" ht="12.75">
      <c r="N2128" s="433"/>
    </row>
    <row r="2129" ht="12.75">
      <c r="N2129" s="433"/>
    </row>
    <row r="2130" ht="12.75">
      <c r="N2130" s="433"/>
    </row>
    <row r="2131" ht="12.75">
      <c r="N2131" s="433"/>
    </row>
    <row r="2132" ht="12.75">
      <c r="N2132" s="433"/>
    </row>
    <row r="2133" ht="12.75">
      <c r="N2133" s="433"/>
    </row>
    <row r="2134" ht="12.75">
      <c r="N2134" s="433"/>
    </row>
    <row r="2135" ht="12.75">
      <c r="N2135" s="433"/>
    </row>
    <row r="2136" ht="12.75">
      <c r="N2136" s="433"/>
    </row>
    <row r="2137" ht="12.75">
      <c r="N2137" s="433"/>
    </row>
    <row r="2138" ht="12.75">
      <c r="N2138" s="433"/>
    </row>
    <row r="2139" ht="12.75">
      <c r="N2139" s="433"/>
    </row>
    <row r="2140" ht="12.75">
      <c r="N2140" s="433"/>
    </row>
    <row r="2141" ht="12.75">
      <c r="N2141" s="433"/>
    </row>
    <row r="2142" ht="12.75">
      <c r="N2142" s="433"/>
    </row>
    <row r="2143" ht="12.75">
      <c r="N2143" s="433"/>
    </row>
    <row r="2144" ht="12.75">
      <c r="N2144" s="433"/>
    </row>
    <row r="2145" ht="12.75">
      <c r="N2145" s="433"/>
    </row>
    <row r="2146" ht="12.75">
      <c r="N2146" s="433"/>
    </row>
    <row r="2147" ht="12.75">
      <c r="N2147" s="433"/>
    </row>
    <row r="2148" ht="12.75">
      <c r="N2148" s="433"/>
    </row>
    <row r="2149" ht="12.75">
      <c r="N2149" s="433"/>
    </row>
    <row r="2150" ht="12.75">
      <c r="N2150" s="433"/>
    </row>
    <row r="2151" ht="12.75">
      <c r="N2151" s="433"/>
    </row>
    <row r="2152" ht="12.75">
      <c r="N2152" s="433"/>
    </row>
    <row r="2153" ht="12.75">
      <c r="N2153" s="433"/>
    </row>
    <row r="2154" ht="12.75">
      <c r="N2154" s="433"/>
    </row>
    <row r="2155" ht="12.75">
      <c r="N2155" s="433"/>
    </row>
    <row r="2156" ht="12.75">
      <c r="N2156" s="433"/>
    </row>
    <row r="2157" ht="12.75">
      <c r="N2157" s="433"/>
    </row>
    <row r="2158" ht="12.75">
      <c r="N2158" s="433"/>
    </row>
    <row r="2159" ht="12.75">
      <c r="N2159" s="433"/>
    </row>
    <row r="2160" ht="12.75">
      <c r="N2160" s="433"/>
    </row>
    <row r="2161" ht="12.75">
      <c r="N2161" s="433"/>
    </row>
    <row r="2162" ht="12.75">
      <c r="N2162" s="433"/>
    </row>
    <row r="2163" ht="12.75">
      <c r="N2163" s="433"/>
    </row>
    <row r="2164" ht="12.75">
      <c r="N2164" s="433"/>
    </row>
    <row r="2165" ht="12.75">
      <c r="N2165" s="433"/>
    </row>
    <row r="2166" ht="12.75">
      <c r="N2166" s="433"/>
    </row>
    <row r="2167" ht="12.75">
      <c r="N2167" s="433"/>
    </row>
    <row r="2168" ht="12.75">
      <c r="N2168" s="433"/>
    </row>
    <row r="2169" ht="12.75">
      <c r="N2169" s="433"/>
    </row>
    <row r="2170" ht="12.75">
      <c r="N2170" s="433"/>
    </row>
    <row r="2171" ht="12.75">
      <c r="N2171" s="433"/>
    </row>
    <row r="2172" ht="12.75">
      <c r="N2172" s="433"/>
    </row>
    <row r="2173" ht="12.75">
      <c r="N2173" s="433"/>
    </row>
    <row r="2174" ht="12.75">
      <c r="N2174" s="433"/>
    </row>
    <row r="2175" ht="12.75">
      <c r="N2175" s="433"/>
    </row>
    <row r="2176" ht="12.75">
      <c r="N2176" s="433"/>
    </row>
    <row r="2177" ht="12.75">
      <c r="N2177" s="433"/>
    </row>
    <row r="2178" ht="12.75">
      <c r="N2178" s="433"/>
    </row>
    <row r="2179" ht="12.75">
      <c r="N2179" s="433"/>
    </row>
    <row r="2180" ht="12.75">
      <c r="N2180" s="433"/>
    </row>
    <row r="2181" ht="12.75">
      <c r="N2181" s="433"/>
    </row>
    <row r="2182" ht="12.75">
      <c r="N2182" s="433"/>
    </row>
    <row r="2183" ht="12.75">
      <c r="N2183" s="433"/>
    </row>
    <row r="2184" ht="12.75">
      <c r="N2184" s="433"/>
    </row>
    <row r="2185" ht="12.75">
      <c r="N2185" s="433"/>
    </row>
    <row r="2186" ht="12.75">
      <c r="N2186" s="433"/>
    </row>
    <row r="2187" ht="12.75">
      <c r="N2187" s="433"/>
    </row>
    <row r="2188" ht="12.75">
      <c r="N2188" s="433"/>
    </row>
    <row r="2189" ht="12.75">
      <c r="N2189" s="433"/>
    </row>
    <row r="2190" ht="12.75">
      <c r="N2190" s="433"/>
    </row>
    <row r="2191" ht="12.75">
      <c r="N2191" s="433"/>
    </row>
    <row r="2192" ht="12.75">
      <c r="N2192" s="433"/>
    </row>
    <row r="2193" ht="12.75">
      <c r="N2193" s="433"/>
    </row>
    <row r="2194" ht="12.75">
      <c r="N2194" s="433"/>
    </row>
    <row r="2195" ht="12.75">
      <c r="N2195" s="433"/>
    </row>
    <row r="2196" ht="12.75">
      <c r="N2196" s="433"/>
    </row>
    <row r="2197" ht="12.75">
      <c r="N2197" s="433"/>
    </row>
    <row r="2198" ht="12.75">
      <c r="N2198" s="433"/>
    </row>
    <row r="2199" ht="12.75">
      <c r="N2199" s="433"/>
    </row>
    <row r="2200" ht="12.75">
      <c r="N2200" s="433"/>
    </row>
    <row r="2201" ht="12.75">
      <c r="N2201" s="433"/>
    </row>
    <row r="2202" ht="12.75">
      <c r="N2202" s="433"/>
    </row>
    <row r="2203" ht="12.75">
      <c r="N2203" s="433"/>
    </row>
    <row r="2204" ht="12.75">
      <c r="N2204" s="433"/>
    </row>
    <row r="2205" ht="12.75">
      <c r="N2205" s="433"/>
    </row>
    <row r="2206" ht="12.75">
      <c r="N2206" s="433"/>
    </row>
    <row r="2207" ht="12.75">
      <c r="N2207" s="433"/>
    </row>
    <row r="2208" ht="12.75">
      <c r="N2208" s="433"/>
    </row>
    <row r="2209" ht="12.75">
      <c r="N2209" s="433"/>
    </row>
    <row r="2210" ht="12.75">
      <c r="N2210" s="433"/>
    </row>
    <row r="2211" ht="12.75">
      <c r="N2211" s="433"/>
    </row>
    <row r="2212" ht="12.75">
      <c r="N2212" s="433"/>
    </row>
    <row r="2213" ht="12.75">
      <c r="N2213" s="433"/>
    </row>
    <row r="2214" ht="12.75">
      <c r="N2214" s="433"/>
    </row>
    <row r="2215" ht="12.75">
      <c r="N2215" s="433"/>
    </row>
    <row r="2216" ht="12.75">
      <c r="N2216" s="433"/>
    </row>
    <row r="2217" ht="12.75">
      <c r="N2217" s="433"/>
    </row>
    <row r="2218" ht="12.75">
      <c r="N2218" s="433"/>
    </row>
    <row r="2219" ht="12.75">
      <c r="N2219" s="433"/>
    </row>
    <row r="2220" ht="12.75">
      <c r="N2220" s="433"/>
    </row>
    <row r="2221" ht="12.75">
      <c r="N2221" s="433"/>
    </row>
    <row r="2222" ht="12.75">
      <c r="N2222" s="433"/>
    </row>
    <row r="2223" ht="12.75">
      <c r="N2223" s="433"/>
    </row>
    <row r="2224" ht="12.75">
      <c r="N2224" s="433"/>
    </row>
    <row r="2225" ht="12.75">
      <c r="N2225" s="433"/>
    </row>
    <row r="2226" ht="12.75">
      <c r="N2226" s="433"/>
    </row>
    <row r="2227" ht="12.75">
      <c r="N2227" s="433"/>
    </row>
    <row r="2228" ht="12.75">
      <c r="N2228" s="433"/>
    </row>
    <row r="2229" ht="12.75">
      <c r="N2229" s="433"/>
    </row>
    <row r="2230" ht="12.75">
      <c r="N2230" s="433"/>
    </row>
    <row r="2231" ht="12.75">
      <c r="N2231" s="433"/>
    </row>
    <row r="2232" ht="12.75">
      <c r="N2232" s="433"/>
    </row>
    <row r="2233" ht="12.75">
      <c r="N2233" s="433"/>
    </row>
    <row r="2234" ht="12.75">
      <c r="N2234" s="433"/>
    </row>
    <row r="2235" ht="12.75">
      <c r="N2235" s="433"/>
    </row>
    <row r="2236" ht="12.75">
      <c r="N2236" s="433"/>
    </row>
    <row r="2237" ht="12.75">
      <c r="N2237" s="433"/>
    </row>
    <row r="2238" ht="12.75">
      <c r="N2238" s="433"/>
    </row>
    <row r="2239" ht="12.75">
      <c r="N2239" s="433"/>
    </row>
    <row r="2240" ht="12.75">
      <c r="N2240" s="433"/>
    </row>
    <row r="2241" ht="12.75">
      <c r="N2241" s="433"/>
    </row>
    <row r="2242" ht="12.75">
      <c r="N2242" s="433"/>
    </row>
    <row r="2243" ht="12.75">
      <c r="N2243" s="433"/>
    </row>
    <row r="2244" ht="12.75">
      <c r="N2244" s="433"/>
    </row>
    <row r="2245" ht="12.75">
      <c r="N2245" s="433"/>
    </row>
    <row r="2246" ht="12.75">
      <c r="N2246" s="433"/>
    </row>
    <row r="2247" ht="12.75">
      <c r="N2247" s="433"/>
    </row>
    <row r="2248" ht="12.75">
      <c r="N2248" s="433"/>
    </row>
    <row r="2249" ht="12.75">
      <c r="N2249" s="433"/>
    </row>
    <row r="2250" ht="12.75">
      <c r="N2250" s="433"/>
    </row>
    <row r="2251" ht="12.75">
      <c r="N2251" s="433"/>
    </row>
    <row r="2252" ht="12.75">
      <c r="N2252" s="433"/>
    </row>
    <row r="2253" ht="12.75">
      <c r="N2253" s="433"/>
    </row>
    <row r="2254" ht="12.75">
      <c r="N2254" s="433"/>
    </row>
    <row r="2255" ht="12.75">
      <c r="N2255" s="433"/>
    </row>
    <row r="2256" ht="12.75">
      <c r="N2256" s="433"/>
    </row>
    <row r="2257" ht="12.75">
      <c r="N2257" s="433"/>
    </row>
    <row r="2258" ht="12.75">
      <c r="N2258" s="433"/>
    </row>
    <row r="2259" ht="12.75">
      <c r="N2259" s="433"/>
    </row>
    <row r="2260" ht="12.75">
      <c r="N2260" s="433"/>
    </row>
    <row r="2261" ht="12.75">
      <c r="N2261" s="433"/>
    </row>
    <row r="2262" ht="12.75">
      <c r="N2262" s="433"/>
    </row>
    <row r="2263" ht="12.75">
      <c r="N2263" s="433"/>
    </row>
    <row r="2264" ht="12.75">
      <c r="N2264" s="433"/>
    </row>
    <row r="2265" ht="12.75">
      <c r="N2265" s="433"/>
    </row>
    <row r="2266" ht="12.75">
      <c r="N2266" s="433"/>
    </row>
    <row r="2267" ht="12.75">
      <c r="N2267" s="433"/>
    </row>
    <row r="2268" ht="12.75">
      <c r="N2268" s="433"/>
    </row>
    <row r="2269" ht="12.75">
      <c r="N2269" s="433"/>
    </row>
    <row r="2270" ht="12.75">
      <c r="N2270" s="433"/>
    </row>
    <row r="2271" ht="12.75">
      <c r="N2271" s="433"/>
    </row>
    <row r="2272" ht="12.75">
      <c r="N2272" s="433"/>
    </row>
    <row r="2273" ht="12.75">
      <c r="N2273" s="433"/>
    </row>
    <row r="2274" ht="12.75">
      <c r="N2274" s="433"/>
    </row>
    <row r="2275" ht="12.75">
      <c r="N2275" s="433"/>
    </row>
    <row r="2276" ht="12.75">
      <c r="N2276" s="433"/>
    </row>
    <row r="2277" ht="12.75">
      <c r="N2277" s="433"/>
    </row>
    <row r="2278" ht="12.75">
      <c r="N2278" s="433"/>
    </row>
    <row r="2279" ht="12.75">
      <c r="N2279" s="433"/>
    </row>
    <row r="2280" ht="12.75">
      <c r="N2280" s="433"/>
    </row>
    <row r="2281" ht="12.75">
      <c r="N2281" s="433"/>
    </row>
    <row r="2282" ht="12.75">
      <c r="N2282" s="433"/>
    </row>
    <row r="2283" ht="12.75">
      <c r="N2283" s="433"/>
    </row>
    <row r="2284" ht="12.75">
      <c r="N2284" s="433"/>
    </row>
    <row r="2285" ht="12.75">
      <c r="N2285" s="433"/>
    </row>
    <row r="2286" ht="12.75">
      <c r="N2286" s="433"/>
    </row>
    <row r="2287" ht="12.75">
      <c r="N2287" s="433"/>
    </row>
    <row r="2288" ht="12.75">
      <c r="N2288" s="433"/>
    </row>
    <row r="2289" ht="12.75">
      <c r="N2289" s="433"/>
    </row>
    <row r="2290" ht="12.75">
      <c r="N2290" s="433"/>
    </row>
    <row r="2291" ht="12.75">
      <c r="N2291" s="433"/>
    </row>
    <row r="2292" ht="12.75">
      <c r="N2292" s="433"/>
    </row>
    <row r="2293" ht="12.75">
      <c r="N2293" s="433"/>
    </row>
    <row r="2294" ht="12.75">
      <c r="N2294" s="433"/>
    </row>
    <row r="2295" ht="12.75">
      <c r="N2295" s="433"/>
    </row>
    <row r="2296" ht="12.75">
      <c r="N2296" s="433"/>
    </row>
    <row r="2297" ht="12.75">
      <c r="N2297" s="433"/>
    </row>
    <row r="2298" ht="12.75">
      <c r="N2298" s="433"/>
    </row>
    <row r="2299" ht="12.75">
      <c r="N2299" s="433"/>
    </row>
    <row r="2300" ht="12.75">
      <c r="N2300" s="433"/>
    </row>
    <row r="2301" ht="12.75">
      <c r="N2301" s="433"/>
    </row>
    <row r="2302" ht="12.75">
      <c r="N2302" s="433"/>
    </row>
    <row r="2303" ht="12.75">
      <c r="N2303" s="433"/>
    </row>
    <row r="2304" ht="12.75">
      <c r="N2304" s="433"/>
    </row>
    <row r="2305" ht="12.75">
      <c r="N2305" s="433"/>
    </row>
    <row r="2306" ht="12.75">
      <c r="N2306" s="433"/>
    </row>
    <row r="2307" ht="12.75">
      <c r="N2307" s="433"/>
    </row>
    <row r="2308" ht="12.75">
      <c r="N2308" s="433"/>
    </row>
    <row r="2309" ht="12.75">
      <c r="N2309" s="433"/>
    </row>
    <row r="2310" ht="12.75">
      <c r="N2310" s="433"/>
    </row>
    <row r="2311" ht="12.75">
      <c r="N2311" s="433"/>
    </row>
    <row r="2312" ht="12.75">
      <c r="N2312" s="433"/>
    </row>
    <row r="2313" ht="12.75">
      <c r="N2313" s="433"/>
    </row>
    <row r="2314" ht="12.75">
      <c r="N2314" s="433"/>
    </row>
    <row r="2315" ht="12.75">
      <c r="N2315" s="433"/>
    </row>
    <row r="2316" ht="12.75">
      <c r="N2316" s="433"/>
    </row>
    <row r="2317" ht="12.75">
      <c r="N2317" s="433"/>
    </row>
    <row r="2318" ht="12.75">
      <c r="N2318" s="433"/>
    </row>
    <row r="2319" ht="12.75">
      <c r="N2319" s="433"/>
    </row>
    <row r="2320" ht="12.75">
      <c r="N2320" s="433"/>
    </row>
    <row r="2321" ht="12.75">
      <c r="N2321" s="433"/>
    </row>
    <row r="2322" ht="12.75">
      <c r="N2322" s="433"/>
    </row>
    <row r="2323" ht="12.75">
      <c r="N2323" s="433"/>
    </row>
    <row r="2324" ht="12.75">
      <c r="N2324" s="433"/>
    </row>
    <row r="2325" ht="12.75">
      <c r="N2325" s="433"/>
    </row>
    <row r="2326" ht="12.75">
      <c r="N2326" s="433"/>
    </row>
    <row r="2327" ht="12.75">
      <c r="N2327" s="433"/>
    </row>
    <row r="2328" ht="12.75">
      <c r="N2328" s="433"/>
    </row>
    <row r="2329" ht="12.75">
      <c r="N2329" s="433"/>
    </row>
    <row r="2330" ht="12.75">
      <c r="N2330" s="433"/>
    </row>
    <row r="2331" ht="12.75">
      <c r="N2331" s="433"/>
    </row>
    <row r="2332" ht="12.75">
      <c r="N2332" s="433"/>
    </row>
    <row r="2333" ht="12.75">
      <c r="N2333" s="433"/>
    </row>
    <row r="2334" ht="12.75">
      <c r="N2334" s="433"/>
    </row>
    <row r="2335" ht="12.75">
      <c r="N2335" s="433"/>
    </row>
    <row r="2336" ht="12.75">
      <c r="N2336" s="433"/>
    </row>
    <row r="2337" ht="12.75">
      <c r="N2337" s="433"/>
    </row>
    <row r="2338" ht="12.75">
      <c r="N2338" s="433"/>
    </row>
    <row r="2339" ht="12.75">
      <c r="N2339" s="433"/>
    </row>
    <row r="2340" ht="12.75">
      <c r="N2340" s="433"/>
    </row>
    <row r="2341" ht="12.75">
      <c r="N2341" s="433"/>
    </row>
    <row r="2342" ht="12.75">
      <c r="N2342" s="433"/>
    </row>
    <row r="2343" ht="12.75">
      <c r="N2343" s="433"/>
    </row>
    <row r="2344" ht="12.75">
      <c r="N2344" s="433"/>
    </row>
    <row r="2345" ht="12.75">
      <c r="N2345" s="433"/>
    </row>
    <row r="2346" ht="12.75">
      <c r="N2346" s="433"/>
    </row>
    <row r="2347" ht="12.75">
      <c r="N2347" s="433"/>
    </row>
    <row r="2348" ht="12.75">
      <c r="N2348" s="433"/>
    </row>
    <row r="2349" ht="12.75">
      <c r="N2349" s="433"/>
    </row>
    <row r="2350" ht="12.75">
      <c r="N2350" s="433"/>
    </row>
    <row r="2351" ht="12.75">
      <c r="N2351" s="433"/>
    </row>
    <row r="2352" ht="12.75">
      <c r="N2352" s="433"/>
    </row>
    <row r="2353" ht="12.75">
      <c r="N2353" s="433"/>
    </row>
    <row r="2354" ht="12.75">
      <c r="N2354" s="433"/>
    </row>
    <row r="2355" ht="12.75">
      <c r="N2355" s="433"/>
    </row>
    <row r="2356" ht="12.75">
      <c r="N2356" s="433"/>
    </row>
    <row r="2357" ht="12.75">
      <c r="N2357" s="433"/>
    </row>
    <row r="2358" ht="12.75">
      <c r="N2358" s="433"/>
    </row>
    <row r="2359" ht="12.75">
      <c r="N2359" s="433"/>
    </row>
    <row r="2360" ht="12.75">
      <c r="N2360" s="433"/>
    </row>
    <row r="2361" ht="12.75">
      <c r="N2361" s="433"/>
    </row>
    <row r="2362" ht="12.75">
      <c r="N2362" s="433"/>
    </row>
    <row r="2363" ht="12.75">
      <c r="N2363" s="433"/>
    </row>
    <row r="2364" ht="12.75">
      <c r="N2364" s="433"/>
    </row>
    <row r="2365" ht="12.75">
      <c r="N2365" s="433"/>
    </row>
    <row r="2366" ht="12.75">
      <c r="N2366" s="433"/>
    </row>
    <row r="2367" ht="12.75">
      <c r="N2367" s="433"/>
    </row>
    <row r="2368" ht="12.75">
      <c r="N2368" s="433"/>
    </row>
    <row r="2369" ht="12.75">
      <c r="N2369" s="433"/>
    </row>
    <row r="2370" ht="12.75">
      <c r="N2370" s="433"/>
    </row>
    <row r="2371" ht="12.75">
      <c r="N2371" s="433"/>
    </row>
    <row r="2372" ht="12.75">
      <c r="N2372" s="433"/>
    </row>
    <row r="2373" ht="12.75">
      <c r="N2373" s="433"/>
    </row>
    <row r="2374" ht="12.75">
      <c r="N2374" s="433"/>
    </row>
    <row r="2375" ht="12.75">
      <c r="N2375" s="433"/>
    </row>
    <row r="2376" ht="12.75">
      <c r="N2376" s="433"/>
    </row>
    <row r="2377" ht="12.75">
      <c r="N2377" s="433"/>
    </row>
    <row r="2378" ht="12.75">
      <c r="N2378" s="433"/>
    </row>
    <row r="2379" ht="12.75">
      <c r="N2379" s="433"/>
    </row>
    <row r="2380" ht="12.75">
      <c r="N2380" s="433"/>
    </row>
    <row r="2381" ht="12.75">
      <c r="N2381" s="433"/>
    </row>
    <row r="2382" ht="12.75">
      <c r="N2382" s="433"/>
    </row>
    <row r="2383" ht="12.75">
      <c r="N2383" s="433"/>
    </row>
    <row r="2384" ht="12.75">
      <c r="N2384" s="433"/>
    </row>
    <row r="2385" ht="12.75">
      <c r="N2385" s="433"/>
    </row>
    <row r="2386" ht="12.75">
      <c r="N2386" s="433"/>
    </row>
    <row r="2387" ht="12.75">
      <c r="N2387" s="433"/>
    </row>
    <row r="2388" ht="12.75">
      <c r="N2388" s="433"/>
    </row>
    <row r="2389" ht="12.75">
      <c r="N2389" s="433"/>
    </row>
    <row r="2390" ht="12.75">
      <c r="N2390" s="433"/>
    </row>
    <row r="2391" ht="12.75">
      <c r="N2391" s="433"/>
    </row>
    <row r="2392" ht="12.75">
      <c r="N2392" s="433"/>
    </row>
    <row r="2393" ht="12.75">
      <c r="N2393" s="433"/>
    </row>
    <row r="2394" ht="12.75">
      <c r="N2394" s="433"/>
    </row>
    <row r="2395" ht="12.75">
      <c r="N2395" s="433"/>
    </row>
    <row r="2396" ht="12.75">
      <c r="N2396" s="433"/>
    </row>
    <row r="2397" ht="12.75">
      <c r="N2397" s="433"/>
    </row>
    <row r="2398" ht="12.75">
      <c r="N2398" s="433"/>
    </row>
    <row r="2399" ht="12.75">
      <c r="N2399" s="433"/>
    </row>
    <row r="2400" ht="12.75">
      <c r="N2400" s="433"/>
    </row>
    <row r="2401" ht="12.75">
      <c r="N2401" s="433"/>
    </row>
    <row r="2402" ht="12.75">
      <c r="N2402" s="433"/>
    </row>
    <row r="2403" ht="12.75">
      <c r="N2403" s="433"/>
    </row>
    <row r="2404" ht="12.75">
      <c r="N2404" s="433"/>
    </row>
    <row r="2405" ht="12.75">
      <c r="N2405" s="433"/>
    </row>
    <row r="2406" ht="12.75">
      <c r="N2406" s="433"/>
    </row>
    <row r="2407" ht="12.75">
      <c r="N2407" s="433"/>
    </row>
    <row r="2408" ht="12.75">
      <c r="N2408" s="433"/>
    </row>
    <row r="2409" ht="12.75">
      <c r="N2409" s="433"/>
    </row>
    <row r="2410" ht="12.75">
      <c r="N2410" s="433"/>
    </row>
    <row r="2411" ht="12.75">
      <c r="N2411" s="433"/>
    </row>
    <row r="2412" ht="12.75">
      <c r="N2412" s="433"/>
    </row>
    <row r="2413" ht="12.75">
      <c r="N2413" s="433"/>
    </row>
    <row r="2414" ht="12.75">
      <c r="N2414" s="433"/>
    </row>
    <row r="2415" ht="12.75">
      <c r="N2415" s="433"/>
    </row>
    <row r="2416" ht="12.75">
      <c r="N2416" s="433"/>
    </row>
    <row r="2417" ht="12.75">
      <c r="N2417" s="433"/>
    </row>
    <row r="2418" ht="12.75">
      <c r="N2418" s="433"/>
    </row>
    <row r="2419" ht="12.75">
      <c r="N2419" s="433"/>
    </row>
    <row r="2420" ht="12.75">
      <c r="N2420" s="433"/>
    </row>
    <row r="2421" ht="12.75">
      <c r="N2421" s="433"/>
    </row>
    <row r="2422" ht="12.75">
      <c r="N2422" s="433"/>
    </row>
    <row r="2423" ht="12.75">
      <c r="N2423" s="433"/>
    </row>
    <row r="2424" ht="12.75">
      <c r="N2424" s="433"/>
    </row>
    <row r="2425" ht="12.75">
      <c r="N2425" s="433"/>
    </row>
    <row r="2426" ht="12.75">
      <c r="N2426" s="433"/>
    </row>
    <row r="2427" ht="12.75">
      <c r="N2427" s="433"/>
    </row>
    <row r="2428" ht="12.75">
      <c r="N2428" s="433"/>
    </row>
    <row r="2429" ht="12.75">
      <c r="N2429" s="433"/>
    </row>
    <row r="2430" ht="12.75">
      <c r="N2430" s="433"/>
    </row>
    <row r="2431" ht="12.75">
      <c r="N2431" s="433"/>
    </row>
    <row r="2432" ht="12.75">
      <c r="N2432" s="433"/>
    </row>
    <row r="2433" ht="12.75">
      <c r="N2433" s="433"/>
    </row>
    <row r="2434" ht="12.75">
      <c r="N2434" s="433"/>
    </row>
    <row r="2435" ht="12.75">
      <c r="N2435" s="433"/>
    </row>
    <row r="2436" ht="12.75">
      <c r="N2436" s="433"/>
    </row>
    <row r="2437" ht="12.75">
      <c r="N2437" s="433"/>
    </row>
    <row r="2438" ht="12.75">
      <c r="N2438" s="433"/>
    </row>
    <row r="2439" ht="12.75">
      <c r="N2439" s="433"/>
    </row>
    <row r="2440" ht="12.75">
      <c r="N2440" s="433"/>
    </row>
    <row r="2441" ht="12.75">
      <c r="N2441" s="433"/>
    </row>
    <row r="2442" ht="12.75">
      <c r="N2442" s="433"/>
    </row>
    <row r="2443" ht="12.75">
      <c r="N2443" s="433"/>
    </row>
    <row r="2444" ht="12.75">
      <c r="N2444" s="433"/>
    </row>
    <row r="2445" ht="12.75">
      <c r="N2445" s="433"/>
    </row>
    <row r="2446" ht="12.75">
      <c r="N2446" s="433"/>
    </row>
    <row r="2447" ht="12.75">
      <c r="N2447" s="433"/>
    </row>
    <row r="2448" ht="12.75">
      <c r="N2448" s="433"/>
    </row>
    <row r="2449" ht="12.75">
      <c r="N2449" s="433"/>
    </row>
    <row r="2450" ht="12.75">
      <c r="N2450" s="433"/>
    </row>
    <row r="2451" ht="12.75">
      <c r="N2451" s="433"/>
    </row>
    <row r="2452" ht="12.75">
      <c r="N2452" s="433"/>
    </row>
    <row r="2453" ht="12.75">
      <c r="N2453" s="433"/>
    </row>
    <row r="2454" ht="12.75">
      <c r="N2454" s="433"/>
    </row>
    <row r="2455" ht="12.75">
      <c r="N2455" s="433"/>
    </row>
    <row r="2456" ht="12.75">
      <c r="N2456" s="433"/>
    </row>
    <row r="2457" ht="12.75">
      <c r="N2457" s="433"/>
    </row>
    <row r="2458" ht="12.75">
      <c r="N2458" s="433"/>
    </row>
    <row r="2459" ht="12.75">
      <c r="N2459" s="433"/>
    </row>
    <row r="2460" ht="12.75">
      <c r="N2460" s="433"/>
    </row>
    <row r="2461" ht="12.75">
      <c r="N2461" s="433"/>
    </row>
    <row r="2462" ht="12.75">
      <c r="N2462" s="433"/>
    </row>
    <row r="2463" ht="12.75">
      <c r="N2463" s="433"/>
    </row>
    <row r="2464" ht="12.75">
      <c r="N2464" s="433"/>
    </row>
    <row r="2465" ht="12.75">
      <c r="N2465" s="433"/>
    </row>
    <row r="2466" ht="12.75">
      <c r="N2466" s="433"/>
    </row>
    <row r="2467" ht="12.75">
      <c r="N2467" s="433"/>
    </row>
    <row r="2468" ht="12.75">
      <c r="N2468" s="433"/>
    </row>
    <row r="2469" ht="12.75">
      <c r="N2469" s="433"/>
    </row>
    <row r="2470" ht="12.75">
      <c r="N2470" s="433"/>
    </row>
    <row r="2471" ht="12.75">
      <c r="N2471" s="433"/>
    </row>
    <row r="2472" ht="12.75">
      <c r="N2472" s="433"/>
    </row>
    <row r="2473" ht="12.75">
      <c r="N2473" s="433"/>
    </row>
    <row r="2474" ht="12.75">
      <c r="N2474" s="433"/>
    </row>
    <row r="2475" ht="12.75">
      <c r="N2475" s="433"/>
    </row>
    <row r="2476" ht="12.75">
      <c r="N2476" s="433"/>
    </row>
    <row r="2477" ht="12.75">
      <c r="N2477" s="433"/>
    </row>
    <row r="2478" ht="12.75">
      <c r="N2478" s="433"/>
    </row>
    <row r="2479" ht="12.75">
      <c r="N2479" s="433"/>
    </row>
    <row r="2480" ht="12.75">
      <c r="N2480" s="433"/>
    </row>
    <row r="2481" ht="12.75">
      <c r="N2481" s="433"/>
    </row>
    <row r="2482" ht="12.75">
      <c r="N2482" s="433"/>
    </row>
    <row r="2483" ht="12.75">
      <c r="N2483" s="433"/>
    </row>
    <row r="2484" ht="12.75">
      <c r="N2484" s="433"/>
    </row>
    <row r="2485" ht="12.75">
      <c r="N2485" s="433"/>
    </row>
    <row r="2486" ht="12.75">
      <c r="N2486" s="433"/>
    </row>
    <row r="2487" ht="12.75">
      <c r="N2487" s="433"/>
    </row>
    <row r="2488" ht="12.75">
      <c r="N2488" s="433"/>
    </row>
    <row r="2489" ht="12.75">
      <c r="N2489" s="433"/>
    </row>
    <row r="2490" ht="12.75">
      <c r="N2490" s="433"/>
    </row>
    <row r="2491" ht="12.75">
      <c r="N2491" s="433"/>
    </row>
    <row r="2492" ht="12.75">
      <c r="N2492" s="433"/>
    </row>
    <row r="2493" ht="12.75">
      <c r="N2493" s="433"/>
    </row>
    <row r="2494" ht="12.75">
      <c r="N2494" s="433"/>
    </row>
    <row r="2495" ht="12.75">
      <c r="N2495" s="433"/>
    </row>
    <row r="2496" ht="12.75">
      <c r="N2496" s="433"/>
    </row>
    <row r="2497" ht="12.75">
      <c r="N2497" s="433"/>
    </row>
    <row r="2498" ht="12.75">
      <c r="N2498" s="433"/>
    </row>
    <row r="2499" ht="12.75">
      <c r="N2499" s="433"/>
    </row>
    <row r="2500" ht="12.75">
      <c r="N2500" s="433"/>
    </row>
    <row r="2501" ht="12.75">
      <c r="N2501" s="433"/>
    </row>
    <row r="2502" ht="12.75">
      <c r="N2502" s="433"/>
    </row>
    <row r="2503" ht="12.75">
      <c r="N2503" s="433"/>
    </row>
    <row r="2504" ht="12.75">
      <c r="N2504" s="433"/>
    </row>
    <row r="2505" ht="12.75">
      <c r="N2505" s="433"/>
    </row>
    <row r="2506" ht="12.75">
      <c r="N2506" s="433"/>
    </row>
    <row r="2507" ht="12.75">
      <c r="N2507" s="433"/>
    </row>
    <row r="2508" ht="12.75">
      <c r="N2508" s="433"/>
    </row>
    <row r="2509" ht="12.75">
      <c r="N2509" s="433"/>
    </row>
    <row r="2510" ht="12.75">
      <c r="N2510" s="433"/>
    </row>
    <row r="2511" ht="12.75">
      <c r="N2511" s="433"/>
    </row>
    <row r="2512" ht="12.75">
      <c r="N2512" s="433"/>
    </row>
    <row r="2513" ht="12.75">
      <c r="N2513" s="433"/>
    </row>
    <row r="2514" ht="12.75">
      <c r="N2514" s="433"/>
    </row>
    <row r="2515" ht="12.75">
      <c r="N2515" s="433"/>
    </row>
    <row r="2516" ht="12.75">
      <c r="N2516" s="433"/>
    </row>
    <row r="2517" ht="12.75">
      <c r="N2517" s="433"/>
    </row>
    <row r="2518" ht="12.75">
      <c r="N2518" s="433"/>
    </row>
    <row r="2519" ht="12.75">
      <c r="N2519" s="433"/>
    </row>
    <row r="2520" ht="12.75">
      <c r="N2520" s="433"/>
    </row>
    <row r="2521" ht="12.75">
      <c r="N2521" s="433"/>
    </row>
    <row r="2522" ht="12.75">
      <c r="N2522" s="433"/>
    </row>
    <row r="2523" ht="12.75">
      <c r="N2523" s="433"/>
    </row>
    <row r="2524" ht="12.75">
      <c r="N2524" s="433"/>
    </row>
    <row r="2525" ht="12.75">
      <c r="N2525" s="433"/>
    </row>
    <row r="2526" ht="12.75">
      <c r="N2526" s="433"/>
    </row>
    <row r="2527" ht="12.75">
      <c r="N2527" s="433"/>
    </row>
    <row r="2528" ht="12.75">
      <c r="N2528" s="433"/>
    </row>
    <row r="2529" ht="12.75">
      <c r="N2529" s="433"/>
    </row>
    <row r="2530" ht="12.75">
      <c r="N2530" s="433"/>
    </row>
    <row r="2531" ht="12.75">
      <c r="N2531" s="433"/>
    </row>
    <row r="2532" ht="12.75">
      <c r="N2532" s="433"/>
    </row>
    <row r="2533" ht="12.75">
      <c r="N2533" s="433"/>
    </row>
    <row r="2534" ht="12.75">
      <c r="N2534" s="433"/>
    </row>
    <row r="2535" ht="12.75">
      <c r="N2535" s="433"/>
    </row>
    <row r="2536" ht="12.75">
      <c r="N2536" s="433"/>
    </row>
    <row r="2537" ht="12.75">
      <c r="N2537" s="433"/>
    </row>
    <row r="2538" ht="12.75">
      <c r="N2538" s="433"/>
    </row>
    <row r="2539" ht="12.75">
      <c r="N2539" s="433"/>
    </row>
    <row r="2540" ht="12.75">
      <c r="N2540" s="433"/>
    </row>
    <row r="2541" ht="12.75">
      <c r="N2541" s="433"/>
    </row>
    <row r="2542" ht="12.75">
      <c r="N2542" s="433"/>
    </row>
    <row r="2543" ht="12.75">
      <c r="N2543" s="433"/>
    </row>
    <row r="2544" ht="12.75">
      <c r="N2544" s="433"/>
    </row>
    <row r="2545" ht="12.75">
      <c r="N2545" s="433"/>
    </row>
    <row r="2546" ht="12.75">
      <c r="N2546" s="433"/>
    </row>
    <row r="2547" ht="12.75">
      <c r="N2547" s="433"/>
    </row>
    <row r="2548" ht="12.75">
      <c r="N2548" s="433"/>
    </row>
    <row r="2549" ht="12.75">
      <c r="N2549" s="433"/>
    </row>
    <row r="2550" ht="12.75">
      <c r="N2550" s="433"/>
    </row>
    <row r="2551" ht="12.75">
      <c r="N2551" s="433"/>
    </row>
    <row r="2552" ht="12.75">
      <c r="N2552" s="433"/>
    </row>
    <row r="2553" ht="12.75">
      <c r="N2553" s="433"/>
    </row>
    <row r="2554" ht="12.75">
      <c r="N2554" s="433"/>
    </row>
    <row r="2555" ht="12.75">
      <c r="N2555" s="433"/>
    </row>
    <row r="2556" ht="12.75">
      <c r="N2556" s="433"/>
    </row>
    <row r="2557" ht="12.75">
      <c r="N2557" s="433"/>
    </row>
    <row r="2558" ht="12.75">
      <c r="N2558" s="433"/>
    </row>
    <row r="2559" ht="12.75">
      <c r="N2559" s="433"/>
    </row>
    <row r="2560" ht="12.75">
      <c r="N2560" s="433"/>
    </row>
    <row r="2561" ht="12.75">
      <c r="N2561" s="433"/>
    </row>
    <row r="2562" ht="12.75">
      <c r="N2562" s="433"/>
    </row>
    <row r="2563" ht="12.75">
      <c r="N2563" s="433"/>
    </row>
    <row r="2564" ht="12.75">
      <c r="N2564" s="433"/>
    </row>
    <row r="2565" ht="12.75">
      <c r="N2565" s="433"/>
    </row>
    <row r="2566" ht="12.75">
      <c r="N2566" s="433"/>
    </row>
    <row r="2567" ht="12.75">
      <c r="N2567" s="433"/>
    </row>
    <row r="2568" ht="12.75">
      <c r="N2568" s="433"/>
    </row>
    <row r="2569" ht="12.75">
      <c r="N2569" s="433"/>
    </row>
    <row r="2570" ht="12.75">
      <c r="N2570" s="433"/>
    </row>
    <row r="2571" ht="12.75">
      <c r="N2571" s="433"/>
    </row>
    <row r="2572" ht="12.75">
      <c r="N2572" s="433"/>
    </row>
    <row r="2573" ht="12.75">
      <c r="N2573" s="433"/>
    </row>
    <row r="2574" ht="12.75">
      <c r="N2574" s="433"/>
    </row>
    <row r="2575" ht="12.75">
      <c r="N2575" s="433"/>
    </row>
    <row r="2576" ht="12.75">
      <c r="N2576" s="433"/>
    </row>
    <row r="2577" ht="12.75">
      <c r="N2577" s="433"/>
    </row>
    <row r="2578" ht="12.75">
      <c r="N2578" s="433"/>
    </row>
    <row r="2579" ht="12.75">
      <c r="N2579" s="433"/>
    </row>
    <row r="2580" ht="12.75">
      <c r="N2580" s="433"/>
    </row>
    <row r="2581" ht="12.75">
      <c r="N2581" s="433"/>
    </row>
    <row r="2582" ht="12.75">
      <c r="N2582" s="433"/>
    </row>
    <row r="2583" ht="12.75">
      <c r="N2583" s="433"/>
    </row>
    <row r="2584" ht="12.75">
      <c r="N2584" s="433"/>
    </row>
    <row r="2585" ht="12.75">
      <c r="N2585" s="433"/>
    </row>
    <row r="2586" ht="12.75">
      <c r="N2586" s="433"/>
    </row>
    <row r="2587" ht="12.75">
      <c r="N2587" s="433"/>
    </row>
    <row r="2588" ht="12.75">
      <c r="N2588" s="433"/>
    </row>
    <row r="2589" ht="12.75">
      <c r="N2589" s="433"/>
    </row>
    <row r="2590" ht="12.75">
      <c r="N2590" s="433"/>
    </row>
    <row r="2591" ht="12.75">
      <c r="N2591" s="433"/>
    </row>
    <row r="2592" ht="12.75">
      <c r="N2592" s="433"/>
    </row>
    <row r="2593" ht="12.75">
      <c r="N2593" s="433"/>
    </row>
    <row r="2594" ht="12.75">
      <c r="N2594" s="433"/>
    </row>
    <row r="2595" ht="12.75">
      <c r="N2595" s="433"/>
    </row>
    <row r="2596" ht="12.75">
      <c r="N2596" s="433"/>
    </row>
    <row r="2597" ht="12.75">
      <c r="N2597" s="433"/>
    </row>
    <row r="2598" ht="12.75">
      <c r="N2598" s="433"/>
    </row>
    <row r="2599" ht="12.75">
      <c r="N2599" s="433"/>
    </row>
    <row r="2600" ht="12.75">
      <c r="N2600" s="433"/>
    </row>
    <row r="2601" ht="12.75">
      <c r="N2601" s="433"/>
    </row>
    <row r="2602" ht="12.75">
      <c r="N2602" s="433"/>
    </row>
    <row r="2603" ht="12.75">
      <c r="N2603" s="433"/>
    </row>
    <row r="2604" ht="12.75">
      <c r="N2604" s="433"/>
    </row>
    <row r="2605" ht="12.75">
      <c r="N2605" s="433"/>
    </row>
    <row r="2606" ht="12.75">
      <c r="N2606" s="433"/>
    </row>
    <row r="2607" ht="12.75">
      <c r="N2607" s="433"/>
    </row>
    <row r="2608" ht="12.75">
      <c r="N2608" s="433"/>
    </row>
    <row r="2609" ht="12.75">
      <c r="N2609" s="433"/>
    </row>
    <row r="2610" ht="12.75">
      <c r="N2610" s="433"/>
    </row>
    <row r="2611" ht="12.75">
      <c r="N2611" s="433"/>
    </row>
    <row r="2612" ht="12.75">
      <c r="N2612" s="433"/>
    </row>
    <row r="2613" ht="12.75">
      <c r="N2613" s="433"/>
    </row>
    <row r="2614" ht="12.75">
      <c r="N2614" s="433"/>
    </row>
    <row r="2615" ht="12.75">
      <c r="N2615" s="433"/>
    </row>
    <row r="2616" ht="12.75">
      <c r="N2616" s="433"/>
    </row>
    <row r="2617" ht="12.75">
      <c r="N2617" s="433"/>
    </row>
    <row r="2618" ht="12.75">
      <c r="N2618" s="433"/>
    </row>
    <row r="2619" ht="12.75">
      <c r="N2619" s="433"/>
    </row>
    <row r="2620" ht="12.75">
      <c r="N2620" s="433"/>
    </row>
    <row r="2621" ht="12.75">
      <c r="N2621" s="433"/>
    </row>
    <row r="2622" ht="12.75">
      <c r="N2622" s="433"/>
    </row>
    <row r="2623" ht="12.75">
      <c r="N2623" s="433"/>
    </row>
    <row r="2624" ht="12.75">
      <c r="N2624" s="433"/>
    </row>
    <row r="2625" ht="12.75">
      <c r="N2625" s="433"/>
    </row>
    <row r="2626" ht="12.75">
      <c r="N2626" s="433"/>
    </row>
    <row r="2627" ht="12.75">
      <c r="N2627" s="433"/>
    </row>
    <row r="2628" ht="12.75">
      <c r="N2628" s="433"/>
    </row>
    <row r="2629" ht="12.75">
      <c r="N2629" s="433"/>
    </row>
    <row r="2630" ht="12.75">
      <c r="N2630" s="433"/>
    </row>
    <row r="2631" ht="12.75">
      <c r="N2631" s="433"/>
    </row>
    <row r="2632" ht="12.75">
      <c r="N2632" s="433"/>
    </row>
    <row r="2633" ht="12.75">
      <c r="N2633" s="433"/>
    </row>
    <row r="2634" ht="12.75">
      <c r="N2634" s="433"/>
    </row>
    <row r="2635" ht="12.75">
      <c r="N2635" s="433"/>
    </row>
    <row r="2636" ht="12.75">
      <c r="N2636" s="433"/>
    </row>
    <row r="2637" ht="12.75">
      <c r="N2637" s="433"/>
    </row>
    <row r="2638" ht="12.75">
      <c r="N2638" s="433"/>
    </row>
    <row r="2639" ht="12.75">
      <c r="N2639" s="433"/>
    </row>
    <row r="2640" ht="12.75">
      <c r="N2640" s="433"/>
    </row>
    <row r="2641" ht="12.75">
      <c r="N2641" s="433"/>
    </row>
    <row r="2642" ht="12.75">
      <c r="N2642" s="433"/>
    </row>
    <row r="2643" ht="12.75">
      <c r="N2643" s="433"/>
    </row>
    <row r="2644" ht="12.75">
      <c r="N2644" s="433"/>
    </row>
    <row r="2645" ht="12.75">
      <c r="N2645" s="433"/>
    </row>
    <row r="2646" ht="12.75">
      <c r="N2646" s="433"/>
    </row>
    <row r="2647" ht="12.75">
      <c r="N2647" s="433"/>
    </row>
    <row r="2648" ht="12.75">
      <c r="N2648" s="433"/>
    </row>
    <row r="2649" ht="12.75">
      <c r="N2649" s="433"/>
    </row>
    <row r="2650" ht="12.75">
      <c r="N2650" s="433"/>
    </row>
    <row r="2651" ht="12.75">
      <c r="N2651" s="433"/>
    </row>
    <row r="2652" ht="12.75">
      <c r="N2652" s="433"/>
    </row>
    <row r="2653" ht="12.75">
      <c r="N2653" s="433"/>
    </row>
    <row r="2654" ht="12.75">
      <c r="N2654" s="433"/>
    </row>
    <row r="2655" ht="12.75">
      <c r="N2655" s="433"/>
    </row>
    <row r="2656" ht="12.75">
      <c r="N2656" s="433"/>
    </row>
    <row r="2657" ht="12.75">
      <c r="N2657" s="433"/>
    </row>
    <row r="2658" ht="12.75">
      <c r="N2658" s="433"/>
    </row>
    <row r="2659" ht="12.75">
      <c r="N2659" s="433"/>
    </row>
    <row r="2660" ht="12.75">
      <c r="N2660" s="433"/>
    </row>
    <row r="2661" ht="12.75">
      <c r="N2661" s="433"/>
    </row>
    <row r="2662" ht="12.75">
      <c r="N2662" s="433"/>
    </row>
    <row r="2663" ht="12.75">
      <c r="N2663" s="433"/>
    </row>
    <row r="2664" ht="12.75">
      <c r="N2664" s="433"/>
    </row>
    <row r="2665" ht="12.75">
      <c r="N2665" s="433"/>
    </row>
    <row r="2666" ht="12.75">
      <c r="N2666" s="433"/>
    </row>
    <row r="2667" ht="12.75">
      <c r="N2667" s="433"/>
    </row>
    <row r="2668" ht="12.75">
      <c r="N2668" s="433"/>
    </row>
    <row r="2669" ht="12.75">
      <c r="N2669" s="433"/>
    </row>
    <row r="2670" ht="12.75">
      <c r="N2670" s="433"/>
    </row>
    <row r="2671" ht="12.75">
      <c r="N2671" s="433"/>
    </row>
    <row r="2672" ht="12.75">
      <c r="N2672" s="433"/>
    </row>
    <row r="2673" ht="12.75">
      <c r="N2673" s="433"/>
    </row>
    <row r="2674" ht="12.75">
      <c r="N2674" s="433"/>
    </row>
    <row r="2675" ht="12.75">
      <c r="N2675" s="433"/>
    </row>
    <row r="2676" ht="12.75">
      <c r="N2676" s="433"/>
    </row>
    <row r="2677" ht="12.75">
      <c r="N2677" s="433"/>
    </row>
    <row r="2678" ht="12.75">
      <c r="N2678" s="433"/>
    </row>
    <row r="2679" ht="12.75">
      <c r="N2679" s="433"/>
    </row>
    <row r="2680" ht="12.75">
      <c r="N2680" s="433"/>
    </row>
    <row r="2681" ht="12.75">
      <c r="N2681" s="433"/>
    </row>
    <row r="2682" ht="12.75">
      <c r="N2682" s="433"/>
    </row>
    <row r="2683" ht="12.75">
      <c r="N2683" s="433"/>
    </row>
    <row r="2684" ht="12.75">
      <c r="N2684" s="433"/>
    </row>
    <row r="2685" ht="12.75">
      <c r="N2685" s="433"/>
    </row>
    <row r="2686" ht="12.75">
      <c r="N2686" s="433"/>
    </row>
    <row r="2687" ht="12.75">
      <c r="N2687" s="433"/>
    </row>
    <row r="2688" ht="12.75">
      <c r="N2688" s="433"/>
    </row>
    <row r="2689" ht="12.75">
      <c r="N2689" s="433"/>
    </row>
    <row r="2690" ht="12.75">
      <c r="N2690" s="433"/>
    </row>
    <row r="2691" ht="12.75">
      <c r="N2691" s="433"/>
    </row>
    <row r="2692" ht="12.75">
      <c r="N2692" s="433"/>
    </row>
    <row r="2693" ht="12.75">
      <c r="N2693" s="433"/>
    </row>
    <row r="2694" ht="12.75">
      <c r="N2694" s="433"/>
    </row>
    <row r="2695" ht="12.75">
      <c r="N2695" s="433"/>
    </row>
    <row r="2696" ht="12.75">
      <c r="N2696" s="433"/>
    </row>
    <row r="2697" ht="12.75">
      <c r="N2697" s="433"/>
    </row>
    <row r="2698" ht="12.75">
      <c r="N2698" s="433"/>
    </row>
    <row r="2699" ht="12.75">
      <c r="N2699" s="433"/>
    </row>
    <row r="2700" ht="12.75">
      <c r="N2700" s="433"/>
    </row>
    <row r="2701" ht="12.75">
      <c r="N2701" s="433"/>
    </row>
    <row r="2702" ht="12.75">
      <c r="N2702" s="433"/>
    </row>
    <row r="2703" ht="12.75">
      <c r="N2703" s="433"/>
    </row>
    <row r="2704" ht="12.75">
      <c r="N2704" s="433"/>
    </row>
    <row r="2705" ht="12.75">
      <c r="N2705" s="433"/>
    </row>
    <row r="2706" ht="12.75">
      <c r="N2706" s="433"/>
    </row>
    <row r="2707" ht="12.75">
      <c r="N2707" s="433"/>
    </row>
    <row r="2708" ht="12.75">
      <c r="N2708" s="433"/>
    </row>
    <row r="2709" ht="12.75">
      <c r="N2709" s="433"/>
    </row>
    <row r="2710" ht="12.75">
      <c r="N2710" s="433"/>
    </row>
    <row r="2711" ht="12.75">
      <c r="N2711" s="433"/>
    </row>
    <row r="2712" ht="12.75">
      <c r="N2712" s="433"/>
    </row>
    <row r="2713" ht="12.75">
      <c r="N2713" s="433"/>
    </row>
    <row r="2714" ht="12.75">
      <c r="N2714" s="433"/>
    </row>
    <row r="2715" ht="12.75">
      <c r="N2715" s="433"/>
    </row>
    <row r="2716" ht="12.75">
      <c r="N2716" s="433"/>
    </row>
    <row r="2717" ht="12.75">
      <c r="N2717" s="433"/>
    </row>
    <row r="2718" ht="12.75">
      <c r="N2718" s="433"/>
    </row>
    <row r="2719" ht="12.75">
      <c r="N2719" s="433"/>
    </row>
    <row r="2720" ht="12.75">
      <c r="N2720" s="433"/>
    </row>
    <row r="2721" ht="12.75">
      <c r="N2721" s="433"/>
    </row>
    <row r="2722" ht="12.75">
      <c r="N2722" s="433"/>
    </row>
    <row r="2723" ht="12.75">
      <c r="N2723" s="433"/>
    </row>
    <row r="2724" ht="12.75">
      <c r="N2724" s="433"/>
    </row>
    <row r="2725" ht="12.75">
      <c r="N2725" s="433"/>
    </row>
    <row r="2726" ht="12.75">
      <c r="N2726" s="433"/>
    </row>
    <row r="2727" ht="12.75">
      <c r="N2727" s="433"/>
    </row>
    <row r="2728" ht="12.75">
      <c r="N2728" s="433"/>
    </row>
    <row r="2729" ht="12.75">
      <c r="N2729" s="433"/>
    </row>
    <row r="2730" ht="12.75">
      <c r="N2730" s="433"/>
    </row>
    <row r="2731" ht="12.75">
      <c r="N2731" s="433"/>
    </row>
    <row r="2732" ht="12.75">
      <c r="N2732" s="433"/>
    </row>
    <row r="2733" ht="12.75">
      <c r="N2733" s="433"/>
    </row>
    <row r="2734" ht="12.75">
      <c r="N2734" s="433"/>
    </row>
    <row r="2735" ht="12.75">
      <c r="N2735" s="433"/>
    </row>
    <row r="2736" ht="12.75">
      <c r="N2736" s="433"/>
    </row>
    <row r="2737" ht="12.75">
      <c r="N2737" s="433"/>
    </row>
    <row r="2738" ht="12.75">
      <c r="N2738" s="433"/>
    </row>
    <row r="2739" ht="12.75">
      <c r="N2739" s="433"/>
    </row>
    <row r="2740" ht="12.75">
      <c r="N2740" s="433"/>
    </row>
    <row r="2741" ht="12.75">
      <c r="N2741" s="433"/>
    </row>
    <row r="2742" ht="12.75">
      <c r="N2742" s="433"/>
    </row>
    <row r="2743" ht="12.75">
      <c r="N2743" s="433"/>
    </row>
    <row r="2744" ht="12.75">
      <c r="N2744" s="433"/>
    </row>
    <row r="2745" ht="12.75">
      <c r="N2745" s="433"/>
    </row>
    <row r="2746" ht="12.75">
      <c r="N2746" s="433"/>
    </row>
    <row r="2747" ht="12.75">
      <c r="N2747" s="433"/>
    </row>
    <row r="2748" ht="12.75">
      <c r="N2748" s="433"/>
    </row>
    <row r="2749" ht="12.75">
      <c r="N2749" s="433"/>
    </row>
    <row r="2750" ht="12.75">
      <c r="N2750" s="433"/>
    </row>
    <row r="2751" ht="12.75">
      <c r="N2751" s="433"/>
    </row>
    <row r="2752" ht="12.75">
      <c r="N2752" s="433"/>
    </row>
    <row r="2753" ht="12.75">
      <c r="N2753" s="433"/>
    </row>
    <row r="2754" ht="12.75">
      <c r="N2754" s="433"/>
    </row>
    <row r="2755" ht="12.75">
      <c r="N2755" s="433"/>
    </row>
    <row r="2756" ht="12.75">
      <c r="N2756" s="433"/>
    </row>
    <row r="2757" ht="12.75">
      <c r="N2757" s="433"/>
    </row>
    <row r="2758" ht="12.75">
      <c r="N2758" s="433"/>
    </row>
    <row r="2759" ht="12.75">
      <c r="N2759" s="433"/>
    </row>
    <row r="2760" ht="12.75">
      <c r="N2760" s="433"/>
    </row>
    <row r="2761" ht="12.75">
      <c r="N2761" s="433"/>
    </row>
    <row r="2762" ht="12.75">
      <c r="N2762" s="433"/>
    </row>
    <row r="2763" ht="12.75">
      <c r="N2763" s="433"/>
    </row>
    <row r="2764" ht="12.75">
      <c r="N2764" s="433"/>
    </row>
    <row r="2765" ht="12.75">
      <c r="N2765" s="433"/>
    </row>
    <row r="2766" ht="12.75">
      <c r="N2766" s="433"/>
    </row>
    <row r="2767" ht="12.75">
      <c r="N2767" s="433"/>
    </row>
    <row r="2768" ht="12.75">
      <c r="N2768" s="433"/>
    </row>
    <row r="2769" ht="12.75">
      <c r="N2769" s="433"/>
    </row>
    <row r="2770" ht="12.75">
      <c r="N2770" s="433"/>
    </row>
    <row r="2771" ht="12.75">
      <c r="N2771" s="433"/>
    </row>
    <row r="2772" ht="12.75">
      <c r="N2772" s="433"/>
    </row>
    <row r="2773" ht="12.75">
      <c r="N2773" s="433"/>
    </row>
    <row r="2774" ht="12.75">
      <c r="N2774" s="433"/>
    </row>
    <row r="2775" ht="12.75">
      <c r="N2775" s="433"/>
    </row>
    <row r="2776" ht="12.75">
      <c r="N2776" s="433"/>
    </row>
    <row r="2777" ht="12.75">
      <c r="N2777" s="433"/>
    </row>
    <row r="2778" ht="12.75">
      <c r="N2778" s="433"/>
    </row>
    <row r="2779" ht="12.75">
      <c r="N2779" s="433"/>
    </row>
    <row r="2780" ht="12.75">
      <c r="N2780" s="433"/>
    </row>
    <row r="2781" ht="12.75">
      <c r="N2781" s="433"/>
    </row>
    <row r="2782" ht="12.75">
      <c r="N2782" s="433"/>
    </row>
    <row r="2783" ht="12.75">
      <c r="N2783" s="433"/>
    </row>
    <row r="2784" ht="12.75">
      <c r="N2784" s="433"/>
    </row>
    <row r="2785" ht="12.75">
      <c r="N2785" s="433"/>
    </row>
    <row r="2786" ht="12.75">
      <c r="N2786" s="433"/>
    </row>
    <row r="2787" ht="12.75">
      <c r="N2787" s="433"/>
    </row>
    <row r="2788" ht="12.75">
      <c r="N2788" s="433"/>
    </row>
    <row r="2789" ht="12.75">
      <c r="N2789" s="433"/>
    </row>
    <row r="2790" ht="12.75">
      <c r="N2790" s="433"/>
    </row>
    <row r="2791" ht="12.75">
      <c r="N2791" s="433"/>
    </row>
    <row r="2792" ht="12.75">
      <c r="N2792" s="433"/>
    </row>
    <row r="2793" ht="12.75">
      <c r="N2793" s="433"/>
    </row>
    <row r="2794" ht="12.75">
      <c r="N2794" s="433"/>
    </row>
    <row r="2795" ht="12.75">
      <c r="N2795" s="433"/>
    </row>
    <row r="2796" ht="12.75">
      <c r="N2796" s="433"/>
    </row>
    <row r="2797" ht="12.75">
      <c r="N2797" s="433"/>
    </row>
    <row r="2798" ht="12.75">
      <c r="N2798" s="433"/>
    </row>
    <row r="2799" ht="12.75">
      <c r="N2799" s="433"/>
    </row>
    <row r="2800" ht="12.75">
      <c r="N2800" s="433"/>
    </row>
    <row r="2801" ht="12.75">
      <c r="N2801" s="433"/>
    </row>
    <row r="2802" ht="12.75">
      <c r="N2802" s="433"/>
    </row>
    <row r="2803" ht="12.75">
      <c r="N2803" s="433"/>
    </row>
    <row r="2804" ht="12.75">
      <c r="N2804" s="433"/>
    </row>
    <row r="2805" ht="12.75">
      <c r="N2805" s="433"/>
    </row>
    <row r="2806" ht="12.75">
      <c r="N2806" s="433"/>
    </row>
    <row r="2807" ht="12.75">
      <c r="N2807" s="433"/>
    </row>
    <row r="2808" ht="12.75">
      <c r="N2808" s="433"/>
    </row>
    <row r="2809" ht="12.75">
      <c r="N2809" s="433"/>
    </row>
    <row r="2810" ht="12.75">
      <c r="N2810" s="433"/>
    </row>
    <row r="2811" ht="12.75">
      <c r="N2811" s="433"/>
    </row>
    <row r="2812" ht="12.75">
      <c r="N2812" s="433"/>
    </row>
    <row r="2813" ht="12.75">
      <c r="N2813" s="433"/>
    </row>
    <row r="2814" ht="12.75">
      <c r="N2814" s="433"/>
    </row>
    <row r="2815" ht="12.75">
      <c r="N2815" s="433"/>
    </row>
    <row r="2816" ht="12.75">
      <c r="N2816" s="433"/>
    </row>
    <row r="2817" ht="12.75">
      <c r="N2817" s="433"/>
    </row>
    <row r="2818" ht="12.75">
      <c r="N2818" s="433"/>
    </row>
    <row r="2819" ht="12.75">
      <c r="N2819" s="433"/>
    </row>
    <row r="2820" ht="12.75">
      <c r="N2820" s="433"/>
    </row>
    <row r="2821" ht="12.75">
      <c r="N2821" s="433"/>
    </row>
    <row r="2822" ht="12.75">
      <c r="N2822" s="433"/>
    </row>
    <row r="2823" ht="12.75">
      <c r="N2823" s="433"/>
    </row>
    <row r="2824" ht="12.75">
      <c r="N2824" s="433"/>
    </row>
    <row r="2825" ht="12.75">
      <c r="N2825" s="433"/>
    </row>
    <row r="2826" ht="12.75">
      <c r="N2826" s="433"/>
    </row>
    <row r="2827" ht="12.75">
      <c r="N2827" s="433"/>
    </row>
    <row r="2828" ht="12.75">
      <c r="N2828" s="433"/>
    </row>
    <row r="2829" ht="12.75">
      <c r="N2829" s="433"/>
    </row>
    <row r="2830" ht="12.75">
      <c r="N2830" s="433"/>
    </row>
    <row r="2831" ht="12.75">
      <c r="N2831" s="433"/>
    </row>
    <row r="2832" ht="12.75">
      <c r="N2832" s="433"/>
    </row>
    <row r="2833" ht="12.75">
      <c r="N2833" s="433"/>
    </row>
    <row r="2834" ht="12.75">
      <c r="N2834" s="433"/>
    </row>
    <row r="2835" ht="12.75">
      <c r="N2835" s="433"/>
    </row>
    <row r="2836" ht="12.75">
      <c r="N2836" s="433"/>
    </row>
    <row r="2837" ht="12.75">
      <c r="N2837" s="433"/>
    </row>
    <row r="2838" ht="12.75">
      <c r="N2838" s="433"/>
    </row>
    <row r="2839" ht="12.75">
      <c r="N2839" s="433"/>
    </row>
    <row r="2840" ht="12.75">
      <c r="N2840" s="433"/>
    </row>
    <row r="2841" ht="12.75">
      <c r="N2841" s="433"/>
    </row>
    <row r="2842" ht="12.75">
      <c r="N2842" s="433"/>
    </row>
    <row r="2843" ht="12.75">
      <c r="N2843" s="433"/>
    </row>
    <row r="2844" ht="12.75">
      <c r="N2844" s="433"/>
    </row>
    <row r="2845" ht="12.75">
      <c r="N2845" s="433"/>
    </row>
    <row r="2846" ht="12.75">
      <c r="N2846" s="433"/>
    </row>
    <row r="2847" ht="12.75">
      <c r="N2847" s="433"/>
    </row>
    <row r="2848" ht="12.75">
      <c r="N2848" s="433"/>
    </row>
    <row r="2849" ht="12.75">
      <c r="N2849" s="433"/>
    </row>
    <row r="2850" ht="12.75">
      <c r="N2850" s="433"/>
    </row>
    <row r="2851" ht="12.75">
      <c r="N2851" s="433"/>
    </row>
    <row r="2852" ht="12.75">
      <c r="N2852" s="433"/>
    </row>
    <row r="2853" ht="12.75">
      <c r="N2853" s="433"/>
    </row>
    <row r="2854" ht="12.75">
      <c r="N2854" s="433"/>
    </row>
    <row r="2855" ht="12.75">
      <c r="N2855" s="433"/>
    </row>
    <row r="2856" ht="12.75">
      <c r="N2856" s="433"/>
    </row>
    <row r="2857" ht="12.75">
      <c r="N2857" s="433"/>
    </row>
    <row r="2858" ht="12.75">
      <c r="N2858" s="433"/>
    </row>
    <row r="2859" ht="12.75">
      <c r="N2859" s="433"/>
    </row>
    <row r="2860" ht="12.75">
      <c r="N2860" s="433"/>
    </row>
    <row r="2861" ht="12.75">
      <c r="N2861" s="433"/>
    </row>
    <row r="2862" ht="12.75">
      <c r="N2862" s="433"/>
    </row>
    <row r="2863" ht="12.75">
      <c r="N2863" s="433"/>
    </row>
    <row r="2864" ht="12.75">
      <c r="N2864" s="433"/>
    </row>
    <row r="2865" ht="12.75">
      <c r="N2865" s="433"/>
    </row>
    <row r="2866" ht="12.75">
      <c r="N2866" s="433"/>
    </row>
    <row r="2867" ht="12.75">
      <c r="N2867" s="433"/>
    </row>
    <row r="2868" ht="12.75">
      <c r="N2868" s="433"/>
    </row>
    <row r="2869" ht="12.75">
      <c r="N2869" s="433"/>
    </row>
    <row r="2870" ht="12.75">
      <c r="N2870" s="433"/>
    </row>
    <row r="2871" ht="12.75">
      <c r="N2871" s="433"/>
    </row>
    <row r="2872" ht="12.75">
      <c r="N2872" s="433"/>
    </row>
    <row r="2873" ht="12.75">
      <c r="N2873" s="433"/>
    </row>
    <row r="2874" ht="12.75">
      <c r="N2874" s="433"/>
    </row>
    <row r="2875" ht="12.75">
      <c r="N2875" s="433"/>
    </row>
    <row r="2876" ht="12.75">
      <c r="N2876" s="433"/>
    </row>
    <row r="2877" ht="12.75">
      <c r="N2877" s="433"/>
    </row>
    <row r="2878" ht="12.75">
      <c r="N2878" s="433"/>
    </row>
    <row r="2879" ht="12.75">
      <c r="N2879" s="433"/>
    </row>
    <row r="2880" ht="12.75">
      <c r="N2880" s="433"/>
    </row>
    <row r="2881" ht="12.75">
      <c r="N2881" s="433"/>
    </row>
    <row r="2882" ht="12.75">
      <c r="N2882" s="433"/>
    </row>
    <row r="2883" ht="12.75">
      <c r="N2883" s="433"/>
    </row>
    <row r="2884" ht="12.75">
      <c r="N2884" s="433"/>
    </row>
    <row r="2885" ht="12.75">
      <c r="N2885" s="433"/>
    </row>
    <row r="2886" ht="12.75">
      <c r="N2886" s="433"/>
    </row>
    <row r="2887" ht="12.75">
      <c r="N2887" s="433"/>
    </row>
    <row r="2888" ht="12.75">
      <c r="N2888" s="433"/>
    </row>
    <row r="2889" ht="12.75">
      <c r="N2889" s="433"/>
    </row>
    <row r="2890" ht="12.75">
      <c r="N2890" s="433"/>
    </row>
    <row r="2891" ht="12.75">
      <c r="N2891" s="433"/>
    </row>
    <row r="2892" ht="12.75">
      <c r="N2892" s="433"/>
    </row>
    <row r="2893" ht="12.75">
      <c r="N2893" s="433"/>
    </row>
    <row r="2894" ht="12.75">
      <c r="N2894" s="433"/>
    </row>
    <row r="2895" ht="12.75">
      <c r="N2895" s="433"/>
    </row>
    <row r="2896" ht="12.75">
      <c r="N2896" s="433"/>
    </row>
    <row r="2897" ht="12.75">
      <c r="N2897" s="433"/>
    </row>
    <row r="2898" ht="12.75">
      <c r="N2898" s="433"/>
    </row>
    <row r="2899" ht="12.75">
      <c r="N2899" s="433"/>
    </row>
    <row r="2900" ht="12.75">
      <c r="N2900" s="433"/>
    </row>
    <row r="2901" ht="12.75">
      <c r="N2901" s="433"/>
    </row>
    <row r="2902" ht="12.75">
      <c r="N2902" s="433"/>
    </row>
    <row r="2903" ht="12.75">
      <c r="N2903" s="433"/>
    </row>
    <row r="2904" ht="12.75">
      <c r="N2904" s="433"/>
    </row>
    <row r="2905" ht="12.75">
      <c r="N2905" s="433"/>
    </row>
    <row r="2906" ht="12.75">
      <c r="N2906" s="433"/>
    </row>
    <row r="2907" ht="12.75">
      <c r="N2907" s="433"/>
    </row>
    <row r="2908" ht="12.75">
      <c r="N2908" s="433"/>
    </row>
    <row r="2909" ht="12.75">
      <c r="N2909" s="433"/>
    </row>
    <row r="2910" ht="12.75">
      <c r="N2910" s="433"/>
    </row>
    <row r="2911" ht="12.75">
      <c r="N2911" s="433"/>
    </row>
    <row r="2912" ht="12.75">
      <c r="N2912" s="433"/>
    </row>
    <row r="2913" ht="12.75">
      <c r="N2913" s="433"/>
    </row>
    <row r="2914" ht="12.75">
      <c r="N2914" s="433"/>
    </row>
    <row r="2915" ht="12.75">
      <c r="N2915" s="433"/>
    </row>
    <row r="2916" ht="12.75">
      <c r="N2916" s="433"/>
    </row>
    <row r="2917" ht="12.75">
      <c r="N2917" s="433"/>
    </row>
    <row r="2918" ht="12.75">
      <c r="N2918" s="433"/>
    </row>
    <row r="2919" ht="12.75">
      <c r="N2919" s="433"/>
    </row>
    <row r="2920" ht="12.75">
      <c r="N2920" s="433"/>
    </row>
    <row r="2921" ht="12.75">
      <c r="N2921" s="433"/>
    </row>
    <row r="2922" ht="12.75">
      <c r="N2922" s="433"/>
    </row>
    <row r="2923" ht="12.75">
      <c r="N2923" s="433"/>
    </row>
    <row r="2924" ht="12.75">
      <c r="N2924" s="433"/>
    </row>
    <row r="2925" ht="12.75">
      <c r="N2925" s="433"/>
    </row>
    <row r="2926" ht="12.75">
      <c r="N2926" s="433"/>
    </row>
    <row r="2927" ht="12.75">
      <c r="N2927" s="433"/>
    </row>
    <row r="2928" ht="12.75">
      <c r="N2928" s="433"/>
    </row>
    <row r="2929" ht="12.75">
      <c r="N2929" s="433"/>
    </row>
    <row r="2930" ht="12.75">
      <c r="N2930" s="433"/>
    </row>
    <row r="2931" ht="12.75">
      <c r="N2931" s="433"/>
    </row>
    <row r="2932" ht="12.75">
      <c r="N2932" s="433"/>
    </row>
    <row r="2933" ht="12.75">
      <c r="N2933" s="433"/>
    </row>
    <row r="2934" ht="12.75">
      <c r="N2934" s="433"/>
    </row>
    <row r="2935" ht="12.75">
      <c r="N2935" s="433"/>
    </row>
    <row r="2936" ht="12.75">
      <c r="N2936" s="433"/>
    </row>
    <row r="2937" ht="12.75">
      <c r="N2937" s="433"/>
    </row>
    <row r="2938" ht="12.75">
      <c r="N2938" s="433"/>
    </row>
    <row r="2939" ht="12.75">
      <c r="N2939" s="433"/>
    </row>
    <row r="2940" ht="12.75">
      <c r="N2940" s="433"/>
    </row>
    <row r="2941" ht="12.75">
      <c r="N2941" s="433"/>
    </row>
    <row r="2942" ht="12.75">
      <c r="N2942" s="433"/>
    </row>
    <row r="2943" ht="12.75">
      <c r="N2943" s="433"/>
    </row>
    <row r="2944" ht="12.75">
      <c r="N2944" s="433"/>
    </row>
    <row r="2945" ht="12.75">
      <c r="N2945" s="433"/>
    </row>
    <row r="2946" ht="12.75">
      <c r="N2946" s="433"/>
    </row>
    <row r="2947" ht="12.75">
      <c r="N2947" s="433"/>
    </row>
    <row r="2948" ht="12.75">
      <c r="N2948" s="433"/>
    </row>
    <row r="2949" ht="12.75">
      <c r="N2949" s="433"/>
    </row>
    <row r="2950" ht="12.75">
      <c r="N2950" s="433"/>
    </row>
    <row r="2951" ht="12.75">
      <c r="N2951" s="433"/>
    </row>
    <row r="2952" ht="12.75">
      <c r="N2952" s="433"/>
    </row>
    <row r="2953" ht="12.75">
      <c r="N2953" s="433"/>
    </row>
    <row r="2954" ht="12.75">
      <c r="N2954" s="433"/>
    </row>
    <row r="2955" ht="12.75">
      <c r="N2955" s="433"/>
    </row>
    <row r="2956" ht="12.75">
      <c r="N2956" s="433"/>
    </row>
    <row r="2957" ht="12.75">
      <c r="N2957" s="433"/>
    </row>
    <row r="2958" ht="12.75">
      <c r="N2958" s="433"/>
    </row>
    <row r="2959" ht="12.75">
      <c r="N2959" s="433"/>
    </row>
    <row r="2960" ht="12.75">
      <c r="N2960" s="433"/>
    </row>
    <row r="2961" ht="12.75">
      <c r="N2961" s="433"/>
    </row>
    <row r="2962" ht="12.75">
      <c r="N2962" s="433"/>
    </row>
    <row r="2963" ht="12.75">
      <c r="N2963" s="433"/>
    </row>
    <row r="2964" ht="12.75">
      <c r="N2964" s="433"/>
    </row>
    <row r="2965" ht="12.75">
      <c r="N2965" s="433"/>
    </row>
    <row r="2966" ht="12.75">
      <c r="N2966" s="433"/>
    </row>
    <row r="2967" ht="12.75">
      <c r="N2967" s="433"/>
    </row>
    <row r="2968" ht="12.75">
      <c r="N2968" s="433"/>
    </row>
    <row r="2969" ht="12.75">
      <c r="N2969" s="433"/>
    </row>
    <row r="2970" ht="12.75">
      <c r="N2970" s="433"/>
    </row>
    <row r="2971" ht="12.75">
      <c r="N2971" s="433"/>
    </row>
    <row r="2972" ht="12.75">
      <c r="N2972" s="433"/>
    </row>
    <row r="2973" ht="12.75">
      <c r="N2973" s="433"/>
    </row>
    <row r="2974" ht="12.75">
      <c r="N2974" s="433"/>
    </row>
    <row r="2975" ht="12.75">
      <c r="N2975" s="433"/>
    </row>
    <row r="2976" ht="12.75">
      <c r="N2976" s="433"/>
    </row>
    <row r="2977" ht="12.75">
      <c r="N2977" s="433"/>
    </row>
    <row r="2978" ht="12.75">
      <c r="N2978" s="433"/>
    </row>
    <row r="2979" ht="12.75">
      <c r="N2979" s="433"/>
    </row>
    <row r="2980" ht="12.75">
      <c r="N2980" s="433"/>
    </row>
    <row r="2981" ht="12.75">
      <c r="N2981" s="433"/>
    </row>
    <row r="2982" ht="12.75">
      <c r="N2982" s="433"/>
    </row>
    <row r="2983" ht="12.75">
      <c r="N2983" s="433"/>
    </row>
    <row r="2984" ht="12.75">
      <c r="N2984" s="433"/>
    </row>
    <row r="2985" ht="12.75">
      <c r="N2985" s="433"/>
    </row>
    <row r="2986" ht="12.75">
      <c r="N2986" s="433"/>
    </row>
    <row r="2987" ht="12.75">
      <c r="N2987" s="433"/>
    </row>
    <row r="2988" ht="12.75">
      <c r="N2988" s="433"/>
    </row>
    <row r="2989" ht="12.75">
      <c r="N2989" s="433"/>
    </row>
    <row r="2990" ht="12.75">
      <c r="N2990" s="433"/>
    </row>
    <row r="2991" ht="12.75">
      <c r="N2991" s="433"/>
    </row>
    <row r="2992" ht="12.75">
      <c r="N2992" s="433"/>
    </row>
    <row r="2993" ht="12.75">
      <c r="N2993" s="433"/>
    </row>
    <row r="2994" ht="12.75">
      <c r="N2994" s="433"/>
    </row>
    <row r="2995" ht="12.75">
      <c r="N2995" s="433"/>
    </row>
    <row r="2996" ht="12.75">
      <c r="N2996" s="433"/>
    </row>
    <row r="2997" ht="12.75">
      <c r="N2997" s="433"/>
    </row>
    <row r="2998" ht="12.75">
      <c r="N2998" s="433"/>
    </row>
    <row r="2999" ht="12.75">
      <c r="N2999" s="433"/>
    </row>
    <row r="3000" ht="12.75">
      <c r="N3000" s="433"/>
    </row>
    <row r="3001" ht="12.75">
      <c r="N3001" s="433"/>
    </row>
    <row r="3002" ht="12.75">
      <c r="N3002" s="433"/>
    </row>
    <row r="3003" ht="12.75">
      <c r="N3003" s="433"/>
    </row>
    <row r="3004" ht="12.75">
      <c r="N3004" s="433"/>
    </row>
    <row r="3005" ht="12.75">
      <c r="N3005" s="433"/>
    </row>
    <row r="3006" ht="12.75">
      <c r="N3006" s="433"/>
    </row>
    <row r="3007" ht="12.75">
      <c r="N3007" s="433"/>
    </row>
    <row r="3008" ht="12.75">
      <c r="N3008" s="433"/>
    </row>
    <row r="3009" ht="12.75">
      <c r="N3009" s="433"/>
    </row>
    <row r="3010" ht="12.75">
      <c r="N3010" s="433"/>
    </row>
    <row r="3011" ht="12.75">
      <c r="N3011" s="433"/>
    </row>
    <row r="3012" ht="12.75">
      <c r="N3012" s="433"/>
    </row>
    <row r="3013" ht="12.75">
      <c r="N3013" s="433"/>
    </row>
    <row r="3014" ht="12.75">
      <c r="N3014" s="433"/>
    </row>
    <row r="3015" ht="12.75">
      <c r="N3015" s="433"/>
    </row>
    <row r="3016" ht="12.75">
      <c r="N3016" s="433"/>
    </row>
    <row r="3017" ht="12.75">
      <c r="N3017" s="433"/>
    </row>
    <row r="3018" ht="12.75">
      <c r="N3018" s="433"/>
    </row>
    <row r="3019" ht="12.75">
      <c r="N3019" s="433"/>
    </row>
    <row r="3020" ht="12.75">
      <c r="N3020" s="433"/>
    </row>
    <row r="3021" ht="12.75">
      <c r="N3021" s="433"/>
    </row>
    <row r="3022" ht="12.75">
      <c r="N3022" s="433"/>
    </row>
    <row r="3023" ht="12.75">
      <c r="N3023" s="433"/>
    </row>
    <row r="3024" ht="12.75">
      <c r="N3024" s="433"/>
    </row>
    <row r="3025" ht="12.75">
      <c r="N3025" s="433"/>
    </row>
    <row r="3026" ht="12.75">
      <c r="N3026" s="433"/>
    </row>
    <row r="3027" ht="12.75">
      <c r="N3027" s="433"/>
    </row>
    <row r="3028" ht="12.75">
      <c r="N3028" s="433"/>
    </row>
    <row r="3029" ht="12.75">
      <c r="N3029" s="433"/>
    </row>
    <row r="3030" ht="12.75">
      <c r="N3030" s="433"/>
    </row>
    <row r="3031" ht="12.75">
      <c r="N3031" s="433"/>
    </row>
    <row r="3032" ht="12.75">
      <c r="N3032" s="433"/>
    </row>
    <row r="3033" ht="12.75">
      <c r="N3033" s="433"/>
    </row>
    <row r="3034" ht="12.75">
      <c r="N3034" s="433"/>
    </row>
    <row r="3035" ht="12.75">
      <c r="N3035" s="433"/>
    </row>
    <row r="3036" ht="12.75">
      <c r="N3036" s="433"/>
    </row>
    <row r="3037" ht="12.75">
      <c r="N3037" s="433"/>
    </row>
    <row r="3038" ht="12.75">
      <c r="N3038" s="433"/>
    </row>
    <row r="3039" ht="12.75">
      <c r="N3039" s="433"/>
    </row>
    <row r="3040" ht="12.75">
      <c r="N3040" s="433"/>
    </row>
    <row r="3041" ht="12.75">
      <c r="N3041" s="433"/>
    </row>
    <row r="3042" ht="12.75">
      <c r="N3042" s="433"/>
    </row>
    <row r="3043" ht="12.75">
      <c r="N3043" s="433"/>
    </row>
    <row r="3044" ht="12.75">
      <c r="N3044" s="433"/>
    </row>
    <row r="3045" ht="12.75">
      <c r="N3045" s="433"/>
    </row>
    <row r="3046" ht="12.75">
      <c r="N3046" s="433"/>
    </row>
    <row r="3047" ht="12.75">
      <c r="N3047" s="433"/>
    </row>
    <row r="3048" ht="12.75">
      <c r="N3048" s="433"/>
    </row>
    <row r="3049" ht="12.75">
      <c r="N3049" s="433"/>
    </row>
    <row r="3050" ht="12.75">
      <c r="N3050" s="433"/>
    </row>
    <row r="3051" ht="12.75">
      <c r="N3051" s="433"/>
    </row>
    <row r="3052" ht="12.75">
      <c r="N3052" s="433"/>
    </row>
    <row r="3053" ht="12.75">
      <c r="N3053" s="433"/>
    </row>
    <row r="3054" ht="12.75">
      <c r="N3054" s="433"/>
    </row>
    <row r="3055" ht="12.75">
      <c r="N3055" s="433"/>
    </row>
    <row r="3056" ht="12.75">
      <c r="N3056" s="433"/>
    </row>
    <row r="3057" ht="12.75">
      <c r="N3057" s="433"/>
    </row>
    <row r="3058" ht="12.75">
      <c r="N3058" s="433"/>
    </row>
    <row r="3059" ht="12.75">
      <c r="N3059" s="433"/>
    </row>
    <row r="3060" ht="12.75">
      <c r="N3060" s="433"/>
    </row>
    <row r="3061" ht="12.75">
      <c r="N3061" s="433"/>
    </row>
    <row r="3062" ht="12.75">
      <c r="N3062" s="433"/>
    </row>
    <row r="3063" ht="12.75">
      <c r="N3063" s="433"/>
    </row>
    <row r="3064" ht="12.75">
      <c r="N3064" s="433"/>
    </row>
    <row r="3065" ht="12.75">
      <c r="N3065" s="433"/>
    </row>
    <row r="3066" ht="12.75">
      <c r="N3066" s="433"/>
    </row>
    <row r="3067" ht="12.75">
      <c r="N3067" s="433"/>
    </row>
    <row r="3068" ht="12.75">
      <c r="N3068" s="433"/>
    </row>
    <row r="3069" ht="12.75">
      <c r="N3069" s="433"/>
    </row>
    <row r="3070" ht="12.75">
      <c r="N3070" s="433"/>
    </row>
    <row r="3071" ht="12.75">
      <c r="N3071" s="433"/>
    </row>
    <row r="3072" ht="12.75">
      <c r="N3072" s="433"/>
    </row>
    <row r="3073" ht="12.75">
      <c r="N3073" s="433"/>
    </row>
    <row r="3074" ht="12.75">
      <c r="N3074" s="433"/>
    </row>
    <row r="3075" ht="12.75">
      <c r="N3075" s="433"/>
    </row>
    <row r="3076" ht="12.75">
      <c r="N3076" s="433"/>
    </row>
    <row r="3077" ht="12.75">
      <c r="N3077" s="433"/>
    </row>
    <row r="3078" ht="12.75">
      <c r="N3078" s="433"/>
    </row>
    <row r="3079" ht="12.75">
      <c r="N3079" s="433"/>
    </row>
    <row r="3080" ht="12.75">
      <c r="N3080" s="433"/>
    </row>
    <row r="3081" ht="12.75">
      <c r="N3081" s="433"/>
    </row>
    <row r="3082" ht="12.75">
      <c r="N3082" s="433"/>
    </row>
    <row r="3083" ht="12.75">
      <c r="N3083" s="433"/>
    </row>
    <row r="3084" ht="12.75">
      <c r="N3084" s="433"/>
    </row>
    <row r="3085" ht="12.75">
      <c r="N3085" s="433"/>
    </row>
    <row r="3086" ht="12.75">
      <c r="N3086" s="433"/>
    </row>
    <row r="3087" ht="12.75">
      <c r="N3087" s="433"/>
    </row>
    <row r="3088" ht="12.75">
      <c r="N3088" s="433"/>
    </row>
    <row r="3089" ht="12.75">
      <c r="N3089" s="433"/>
    </row>
    <row r="3090" ht="12.75">
      <c r="N3090" s="433"/>
    </row>
    <row r="3091" ht="12.75">
      <c r="N3091" s="433"/>
    </row>
    <row r="3092" ht="12.75">
      <c r="N3092" s="433"/>
    </row>
    <row r="3093" ht="12.75">
      <c r="N3093" s="433"/>
    </row>
    <row r="3094" ht="12.75">
      <c r="N3094" s="433"/>
    </row>
    <row r="3095" ht="12.75">
      <c r="N3095" s="433"/>
    </row>
    <row r="3096" ht="12.75">
      <c r="N3096" s="433"/>
    </row>
    <row r="3097" ht="12.75">
      <c r="N3097" s="433"/>
    </row>
    <row r="3098" ht="12.75">
      <c r="N3098" s="433"/>
    </row>
    <row r="3099" ht="12.75">
      <c r="N3099" s="433"/>
    </row>
    <row r="3100" ht="12.75">
      <c r="N3100" s="433"/>
    </row>
    <row r="3101" ht="12.75">
      <c r="N3101" s="433"/>
    </row>
    <row r="3102" ht="12.75">
      <c r="N3102" s="433"/>
    </row>
    <row r="3103" ht="12.75">
      <c r="N3103" s="433"/>
    </row>
    <row r="3104" ht="12.75">
      <c r="N3104" s="433"/>
    </row>
    <row r="3105" ht="12.75">
      <c r="N3105" s="433"/>
    </row>
    <row r="3106" ht="12.75">
      <c r="N3106" s="433"/>
    </row>
    <row r="3107" ht="12.75">
      <c r="N3107" s="433"/>
    </row>
    <row r="3108" ht="12.75">
      <c r="N3108" s="433"/>
    </row>
    <row r="3109" ht="12.75">
      <c r="N3109" s="433"/>
    </row>
    <row r="3110" ht="12.75">
      <c r="N3110" s="433"/>
    </row>
    <row r="3111" ht="12.75">
      <c r="N3111" s="433"/>
    </row>
    <row r="3112" ht="12.75">
      <c r="N3112" s="433"/>
    </row>
    <row r="3113" ht="12.75">
      <c r="N3113" s="433"/>
    </row>
    <row r="3114" ht="12.75">
      <c r="N3114" s="433"/>
    </row>
    <row r="3115" ht="12.75">
      <c r="N3115" s="433"/>
    </row>
    <row r="3116" ht="12.75">
      <c r="N3116" s="433"/>
    </row>
    <row r="3117" ht="12.75">
      <c r="N3117" s="433"/>
    </row>
    <row r="3118" ht="12.75">
      <c r="N3118" s="433"/>
    </row>
    <row r="3119" ht="12.75">
      <c r="N3119" s="433"/>
    </row>
    <row r="3120" ht="12.75">
      <c r="N3120" s="433"/>
    </row>
    <row r="3121" ht="12.75">
      <c r="N3121" s="433"/>
    </row>
    <row r="3122" ht="12.75">
      <c r="N3122" s="433"/>
    </row>
    <row r="3123" ht="12.75">
      <c r="N3123" s="433"/>
    </row>
    <row r="3124" ht="12.75">
      <c r="N3124" s="433"/>
    </row>
    <row r="3125" ht="12.75">
      <c r="N3125" s="433"/>
    </row>
    <row r="3126" ht="12.75">
      <c r="N3126" s="433"/>
    </row>
    <row r="3127" ht="12.75">
      <c r="N3127" s="433"/>
    </row>
    <row r="3128" ht="12.75">
      <c r="N3128" s="433"/>
    </row>
    <row r="3129" ht="12.75">
      <c r="N3129" s="433"/>
    </row>
    <row r="3130" ht="12.75">
      <c r="N3130" s="433"/>
    </row>
    <row r="3131" ht="12.75">
      <c r="N3131" s="433"/>
    </row>
    <row r="3132" ht="12.75">
      <c r="N3132" s="433"/>
    </row>
    <row r="3133" ht="12.75">
      <c r="N3133" s="433"/>
    </row>
    <row r="3134" ht="12.75">
      <c r="N3134" s="433"/>
    </row>
    <row r="3135" ht="12.75">
      <c r="N3135" s="433"/>
    </row>
    <row r="3136" ht="12.75">
      <c r="N3136" s="433"/>
    </row>
    <row r="3137" ht="12.75">
      <c r="N3137" s="433"/>
    </row>
    <row r="3138" ht="12.75">
      <c r="N3138" s="433"/>
    </row>
    <row r="3139" ht="12.75">
      <c r="N3139" s="433"/>
    </row>
    <row r="3140" ht="12.75">
      <c r="N3140" s="433"/>
    </row>
    <row r="3141" ht="12.75">
      <c r="N3141" s="433"/>
    </row>
    <row r="3142" ht="12.75">
      <c r="N3142" s="433"/>
    </row>
    <row r="3143" ht="12.75">
      <c r="N3143" s="433"/>
    </row>
    <row r="3144" ht="12.75">
      <c r="N3144" s="433"/>
    </row>
    <row r="3145" ht="12.75">
      <c r="N3145" s="433"/>
    </row>
    <row r="3146" ht="12.75">
      <c r="N3146" s="433"/>
    </row>
    <row r="3147" ht="12.75">
      <c r="N3147" s="433"/>
    </row>
    <row r="3148" ht="12.75">
      <c r="N3148" s="433"/>
    </row>
    <row r="3149" ht="12.75">
      <c r="N3149" s="433"/>
    </row>
    <row r="3150" ht="12.75">
      <c r="N3150" s="433"/>
    </row>
    <row r="3151" ht="12.75">
      <c r="N3151" s="433"/>
    </row>
    <row r="3152" ht="12.75">
      <c r="N3152" s="433"/>
    </row>
    <row r="3153" ht="12.75">
      <c r="N3153" s="433"/>
    </row>
    <row r="3154" ht="12.75">
      <c r="N3154" s="433"/>
    </row>
    <row r="3155" ht="12.75">
      <c r="N3155" s="433"/>
    </row>
    <row r="3156" ht="12.75">
      <c r="N3156" s="433"/>
    </row>
    <row r="3157" ht="12.75">
      <c r="N3157" s="433"/>
    </row>
    <row r="3158" ht="12.75">
      <c r="N3158" s="433"/>
    </row>
    <row r="3159" ht="12.75">
      <c r="N3159" s="433"/>
    </row>
    <row r="3160" ht="12.75">
      <c r="N3160" s="433"/>
    </row>
    <row r="3161" ht="12.75">
      <c r="N3161" s="433"/>
    </row>
    <row r="3162" ht="12.75">
      <c r="N3162" s="433"/>
    </row>
    <row r="3163" ht="12.75">
      <c r="N3163" s="433"/>
    </row>
    <row r="3164" ht="12.75">
      <c r="N3164" s="433"/>
    </row>
    <row r="3165" ht="12.75">
      <c r="N3165" s="433"/>
    </row>
    <row r="3166" ht="12.75">
      <c r="N3166" s="433"/>
    </row>
    <row r="3167" ht="12.75">
      <c r="N3167" s="433"/>
    </row>
    <row r="3168" ht="12.75">
      <c r="N3168" s="433"/>
    </row>
    <row r="3169" ht="12.75">
      <c r="N3169" s="433"/>
    </row>
    <row r="3170" ht="12.75">
      <c r="N3170" s="433"/>
    </row>
    <row r="3171" ht="12.75">
      <c r="N3171" s="433"/>
    </row>
    <row r="3172" ht="12.75">
      <c r="N3172" s="433"/>
    </row>
    <row r="3173" ht="12.75">
      <c r="N3173" s="433"/>
    </row>
    <row r="3174" ht="12.75">
      <c r="N3174" s="433"/>
    </row>
    <row r="3175" ht="12.75">
      <c r="N3175" s="433"/>
    </row>
    <row r="3176" ht="12.75">
      <c r="N3176" s="433"/>
    </row>
    <row r="3177" ht="12.75">
      <c r="N3177" s="433"/>
    </row>
    <row r="3178" ht="12.75">
      <c r="N3178" s="433"/>
    </row>
    <row r="3179" ht="12.75">
      <c r="N3179" s="433"/>
    </row>
    <row r="3180" ht="12.75">
      <c r="N3180" s="433"/>
    </row>
    <row r="3181" ht="12.75">
      <c r="N3181" s="433"/>
    </row>
    <row r="3182" ht="12.75">
      <c r="N3182" s="433"/>
    </row>
    <row r="3183" ht="12.75">
      <c r="N3183" s="433"/>
    </row>
    <row r="3184" ht="12.75">
      <c r="N3184" s="433"/>
    </row>
    <row r="3185" ht="12.75">
      <c r="N3185" s="433"/>
    </row>
    <row r="3186" ht="12.75">
      <c r="N3186" s="433"/>
    </row>
    <row r="3187" ht="12.75">
      <c r="N3187" s="433"/>
    </row>
    <row r="3188" ht="12.75">
      <c r="N3188" s="433"/>
    </row>
    <row r="3189" ht="12.75">
      <c r="N3189" s="433"/>
    </row>
    <row r="3190" ht="12.75">
      <c r="N3190" s="433"/>
    </row>
    <row r="3191" ht="12.75">
      <c r="N3191" s="433"/>
    </row>
    <row r="3192" ht="12.75">
      <c r="N3192" s="433"/>
    </row>
    <row r="3193" ht="12.75">
      <c r="N3193" s="433"/>
    </row>
    <row r="3194" ht="12.75">
      <c r="N3194" s="433"/>
    </row>
    <row r="3195" ht="12.75">
      <c r="N3195" s="433"/>
    </row>
    <row r="3196" ht="12.75">
      <c r="N3196" s="433"/>
    </row>
    <row r="3197" ht="12.75">
      <c r="N3197" s="433"/>
    </row>
    <row r="3198" ht="12.75">
      <c r="N3198" s="433"/>
    </row>
    <row r="3199" ht="12.75">
      <c r="N3199" s="433"/>
    </row>
    <row r="3200" ht="12.75">
      <c r="N3200" s="433"/>
    </row>
    <row r="3201" ht="12.75">
      <c r="N3201" s="433"/>
    </row>
    <row r="3202" ht="12.75">
      <c r="N3202" s="433"/>
    </row>
    <row r="3203" ht="12.75">
      <c r="N3203" s="433"/>
    </row>
    <row r="3204" ht="12.75">
      <c r="N3204" s="433"/>
    </row>
    <row r="3205" ht="12.75">
      <c r="N3205" s="433"/>
    </row>
    <row r="3206" ht="12.75">
      <c r="N3206" s="433"/>
    </row>
    <row r="3207" ht="12.75">
      <c r="N3207" s="433"/>
    </row>
    <row r="3208" ht="12.75">
      <c r="N3208" s="433"/>
    </row>
    <row r="3209" ht="12.75">
      <c r="N3209" s="433"/>
    </row>
    <row r="3210" ht="12.75">
      <c r="N3210" s="433"/>
    </row>
    <row r="3211" ht="12.75">
      <c r="N3211" s="433"/>
    </row>
    <row r="3212" ht="12.75">
      <c r="N3212" s="433"/>
    </row>
    <row r="3213" ht="12.75">
      <c r="N3213" s="433"/>
    </row>
    <row r="3214" ht="12.75">
      <c r="N3214" s="433"/>
    </row>
    <row r="3215" ht="12.75">
      <c r="N3215" s="433"/>
    </row>
    <row r="3216" ht="12.75">
      <c r="N3216" s="433"/>
    </row>
    <row r="3217" ht="12.75">
      <c r="N3217" s="433"/>
    </row>
    <row r="3218" ht="12.75">
      <c r="N3218" s="433"/>
    </row>
    <row r="3219" ht="12.75">
      <c r="N3219" s="433"/>
    </row>
    <row r="3220" ht="12.75">
      <c r="N3220" s="433"/>
    </row>
    <row r="3221" ht="12.75">
      <c r="N3221" s="433"/>
    </row>
    <row r="3222" ht="12.75">
      <c r="N3222" s="433"/>
    </row>
    <row r="3223" ht="12.75">
      <c r="N3223" s="433"/>
    </row>
    <row r="3224" ht="12.75">
      <c r="N3224" s="433"/>
    </row>
    <row r="3225" ht="12.75">
      <c r="N3225" s="433"/>
    </row>
    <row r="3226" ht="12.75">
      <c r="N3226" s="433"/>
    </row>
    <row r="3227" ht="12.75">
      <c r="N3227" s="433"/>
    </row>
    <row r="3228" ht="12.75">
      <c r="N3228" s="433"/>
    </row>
    <row r="3229" ht="12.75">
      <c r="N3229" s="433"/>
    </row>
    <row r="3230" ht="12.75">
      <c r="N3230" s="433"/>
    </row>
    <row r="3231" ht="12.75">
      <c r="N3231" s="433"/>
    </row>
    <row r="3232" ht="12.75">
      <c r="N3232" s="433"/>
    </row>
    <row r="3233" ht="12.75">
      <c r="N3233" s="433"/>
    </row>
    <row r="3234" ht="12.75">
      <c r="N3234" s="433"/>
    </row>
    <row r="3235" ht="12.75">
      <c r="N3235" s="433"/>
    </row>
    <row r="3236" ht="12.75">
      <c r="N3236" s="433"/>
    </row>
    <row r="3237" ht="12.75">
      <c r="N3237" s="433"/>
    </row>
    <row r="3238" ht="12.75">
      <c r="N3238" s="433"/>
    </row>
    <row r="3239" ht="12.75">
      <c r="N3239" s="433"/>
    </row>
    <row r="3240" ht="12.75">
      <c r="N3240" s="433"/>
    </row>
    <row r="3241" ht="12.75">
      <c r="N3241" s="433"/>
    </row>
    <row r="3242" ht="12.75">
      <c r="N3242" s="433"/>
    </row>
    <row r="3243" ht="12.75">
      <c r="N3243" s="433"/>
    </row>
    <row r="3244" ht="12.75">
      <c r="N3244" s="433"/>
    </row>
    <row r="3245" ht="12.75">
      <c r="N3245" s="433"/>
    </row>
    <row r="3246" ht="12.75">
      <c r="N3246" s="433"/>
    </row>
    <row r="3247" ht="12.75">
      <c r="N3247" s="433"/>
    </row>
    <row r="3248" ht="12.75">
      <c r="N3248" s="433"/>
    </row>
    <row r="3249" ht="12.75">
      <c r="N3249" s="433"/>
    </row>
    <row r="3250" ht="12.75">
      <c r="N3250" s="433"/>
    </row>
    <row r="3251" ht="12.75">
      <c r="N3251" s="433"/>
    </row>
    <row r="3252" ht="12.75">
      <c r="N3252" s="433"/>
    </row>
    <row r="3253" ht="12.75">
      <c r="N3253" s="433"/>
    </row>
    <row r="3254" ht="12.75">
      <c r="N3254" s="433"/>
    </row>
    <row r="3255" ht="12.75">
      <c r="N3255" s="433"/>
    </row>
    <row r="3256" ht="12.75">
      <c r="N3256" s="433"/>
    </row>
    <row r="3257" ht="12.75">
      <c r="N3257" s="433"/>
    </row>
    <row r="3258" ht="12.75">
      <c r="N3258" s="433"/>
    </row>
    <row r="3259" ht="12.75">
      <c r="N3259" s="433"/>
    </row>
    <row r="3260" ht="12.75">
      <c r="N3260" s="433"/>
    </row>
    <row r="3261" ht="12.75">
      <c r="N3261" s="433"/>
    </row>
    <row r="3262" ht="12.75">
      <c r="N3262" s="433"/>
    </row>
    <row r="3263" ht="12.75">
      <c r="N3263" s="433"/>
    </row>
    <row r="3264" ht="12.75">
      <c r="N3264" s="433"/>
    </row>
    <row r="3265" ht="12.75">
      <c r="N3265" s="433"/>
    </row>
    <row r="3266" ht="12.75">
      <c r="N3266" s="433"/>
    </row>
    <row r="3267" ht="12.75">
      <c r="N3267" s="433"/>
    </row>
    <row r="3268" ht="12.75">
      <c r="N3268" s="433"/>
    </row>
    <row r="3269" ht="12.75">
      <c r="N3269" s="433"/>
    </row>
    <row r="3270" ht="12.75">
      <c r="N3270" s="433"/>
    </row>
    <row r="3271" ht="12.75">
      <c r="N3271" s="433"/>
    </row>
    <row r="3272" ht="12.75">
      <c r="N3272" s="433"/>
    </row>
    <row r="3273" ht="12.75">
      <c r="N3273" s="433"/>
    </row>
    <row r="3274" ht="12.75">
      <c r="N3274" s="433"/>
    </row>
    <row r="3275" ht="12.75">
      <c r="N3275" s="433"/>
    </row>
    <row r="3276" ht="12.75">
      <c r="N3276" s="433"/>
    </row>
    <row r="3277" ht="12.75">
      <c r="N3277" s="433"/>
    </row>
    <row r="3278" ht="12.75">
      <c r="N3278" s="433"/>
    </row>
    <row r="3279" ht="12.75">
      <c r="N3279" s="433"/>
    </row>
    <row r="3280" ht="12.75">
      <c r="N3280" s="433"/>
    </row>
    <row r="3281" ht="12.75">
      <c r="N3281" s="433"/>
    </row>
    <row r="3282" ht="12.75">
      <c r="N3282" s="433"/>
    </row>
    <row r="3283" ht="12.75">
      <c r="N3283" s="433"/>
    </row>
    <row r="3284" ht="12.75">
      <c r="N3284" s="433"/>
    </row>
    <row r="3285" ht="12.75">
      <c r="N3285" s="433"/>
    </row>
    <row r="3286" ht="12.75">
      <c r="N3286" s="433"/>
    </row>
    <row r="3287" ht="12.75">
      <c r="N3287" s="433"/>
    </row>
    <row r="3288" ht="12.75">
      <c r="N3288" s="433"/>
    </row>
    <row r="3289" ht="12.75">
      <c r="N3289" s="433"/>
    </row>
    <row r="3290" ht="12.75">
      <c r="N3290" s="433"/>
    </row>
    <row r="3291" ht="12.75">
      <c r="N3291" s="433"/>
    </row>
    <row r="3292" ht="12.75">
      <c r="N3292" s="433"/>
    </row>
    <row r="3293" ht="12.75">
      <c r="N3293" s="433"/>
    </row>
    <row r="3294" ht="12.75">
      <c r="N3294" s="433"/>
    </row>
    <row r="3295" ht="12.75">
      <c r="N3295" s="433"/>
    </row>
    <row r="3296" ht="12.75">
      <c r="N3296" s="433"/>
    </row>
    <row r="3297" ht="12.75">
      <c r="N3297" s="433"/>
    </row>
    <row r="3298" ht="12.75">
      <c r="N3298" s="433"/>
    </row>
    <row r="3299" ht="12.75">
      <c r="N3299" s="433"/>
    </row>
    <row r="3300" ht="12.75">
      <c r="N3300" s="433"/>
    </row>
    <row r="3301" ht="12.75">
      <c r="N3301" s="433"/>
    </row>
    <row r="3302" ht="12.75">
      <c r="N3302" s="433"/>
    </row>
    <row r="3303" ht="12.75">
      <c r="N3303" s="433"/>
    </row>
    <row r="3304" ht="12.75">
      <c r="N3304" s="433"/>
    </row>
    <row r="3305" ht="12.75">
      <c r="N3305" s="433"/>
    </row>
    <row r="3306" ht="12.75">
      <c r="N3306" s="433"/>
    </row>
    <row r="3307" ht="12.75">
      <c r="N3307" s="433"/>
    </row>
    <row r="3308" ht="12.75">
      <c r="N3308" s="433"/>
    </row>
    <row r="3309" ht="12.75">
      <c r="N3309" s="433"/>
    </row>
    <row r="3310" ht="12.75">
      <c r="N3310" s="433"/>
    </row>
    <row r="3311" ht="12.75">
      <c r="N3311" s="433"/>
    </row>
    <row r="3312" ht="12.75">
      <c r="N3312" s="433"/>
    </row>
    <row r="3313" ht="12.75">
      <c r="N3313" s="433"/>
    </row>
    <row r="3314" ht="12.75">
      <c r="N3314" s="433"/>
    </row>
    <row r="3315" ht="12.75">
      <c r="N3315" s="433"/>
    </row>
    <row r="3316" ht="12.75">
      <c r="N3316" s="433"/>
    </row>
    <row r="3317" ht="12.75">
      <c r="N3317" s="433"/>
    </row>
    <row r="3318" ht="12.75">
      <c r="N3318" s="433"/>
    </row>
    <row r="3319" ht="12.75">
      <c r="N3319" s="433"/>
    </row>
    <row r="3320" ht="12.75">
      <c r="N3320" s="433"/>
    </row>
    <row r="3321" ht="12.75">
      <c r="N3321" s="433"/>
    </row>
    <row r="3322" ht="12.75">
      <c r="N3322" s="433"/>
    </row>
    <row r="3323" ht="12.75">
      <c r="N3323" s="433"/>
    </row>
    <row r="3324" ht="12.75">
      <c r="N3324" s="433"/>
    </row>
    <row r="3325" ht="12.75">
      <c r="N3325" s="433"/>
    </row>
    <row r="3326" ht="12.75">
      <c r="N3326" s="433"/>
    </row>
    <row r="3327" ht="12.75">
      <c r="N3327" s="433"/>
    </row>
    <row r="3328" ht="12.75">
      <c r="N3328" s="433"/>
    </row>
    <row r="3329" ht="12.75">
      <c r="N3329" s="433"/>
    </row>
    <row r="3330" ht="12.75">
      <c r="N3330" s="433"/>
    </row>
    <row r="3331" ht="12.75">
      <c r="N3331" s="433"/>
    </row>
    <row r="3332" ht="12.75">
      <c r="N3332" s="433"/>
    </row>
    <row r="3333" ht="12.75">
      <c r="N3333" s="433"/>
    </row>
    <row r="3334" ht="12.75">
      <c r="N3334" s="433"/>
    </row>
    <row r="3335" ht="12.75">
      <c r="N3335" s="433"/>
    </row>
    <row r="3336" ht="12.75">
      <c r="N3336" s="433"/>
    </row>
    <row r="3337" ht="12.75">
      <c r="N3337" s="433"/>
    </row>
    <row r="3338" ht="12.75">
      <c r="N3338" s="433"/>
    </row>
    <row r="3339" ht="12.75">
      <c r="N3339" s="433"/>
    </row>
    <row r="3340" ht="12.75">
      <c r="N3340" s="433"/>
    </row>
    <row r="3341" ht="12.75">
      <c r="N3341" s="433"/>
    </row>
    <row r="3342" ht="12.75">
      <c r="N3342" s="433"/>
    </row>
    <row r="3343" ht="12.75">
      <c r="N3343" s="433"/>
    </row>
    <row r="3344" ht="12.75">
      <c r="N3344" s="433"/>
    </row>
    <row r="3345" ht="12.75">
      <c r="N3345" s="433"/>
    </row>
    <row r="3346" ht="12.75">
      <c r="N3346" s="433"/>
    </row>
    <row r="3347" ht="12.75">
      <c r="N3347" s="433"/>
    </row>
    <row r="3348" ht="12.75">
      <c r="N3348" s="433"/>
    </row>
    <row r="3349" ht="12.75">
      <c r="N3349" s="433"/>
    </row>
    <row r="3350" ht="12.75">
      <c r="N3350" s="433"/>
    </row>
    <row r="3351" ht="12.75">
      <c r="N3351" s="433"/>
    </row>
    <row r="3352" ht="12.75">
      <c r="N3352" s="433"/>
    </row>
    <row r="3353" ht="12.75">
      <c r="N3353" s="433"/>
    </row>
    <row r="3354" ht="12.75">
      <c r="N3354" s="433"/>
    </row>
    <row r="3355" ht="12.75">
      <c r="N3355" s="433"/>
    </row>
    <row r="3356" ht="12.75">
      <c r="N3356" s="433"/>
    </row>
    <row r="3357" ht="12.75">
      <c r="N3357" s="433"/>
    </row>
    <row r="3358" ht="12.75">
      <c r="N3358" s="433"/>
    </row>
    <row r="3359" ht="12.75">
      <c r="N3359" s="433"/>
    </row>
    <row r="3360" ht="12.75">
      <c r="N3360" s="433"/>
    </row>
    <row r="3361" ht="12.75">
      <c r="N3361" s="433"/>
    </row>
    <row r="3362" ht="12.75">
      <c r="N3362" s="433"/>
    </row>
    <row r="3363" ht="12.75">
      <c r="N3363" s="433"/>
    </row>
    <row r="3364" ht="12.75">
      <c r="N3364" s="433"/>
    </row>
    <row r="3365" ht="12.75">
      <c r="N3365" s="433"/>
    </row>
    <row r="3366" ht="12.75">
      <c r="N3366" s="433"/>
    </row>
    <row r="3367" ht="12.75">
      <c r="N3367" s="433"/>
    </row>
    <row r="3368" ht="12.75">
      <c r="N3368" s="433"/>
    </row>
    <row r="3369" ht="12.75">
      <c r="N3369" s="433"/>
    </row>
    <row r="3370" ht="12.75">
      <c r="N3370" s="433"/>
    </row>
    <row r="3371" ht="12.75">
      <c r="N3371" s="433"/>
    </row>
    <row r="3372" ht="12.75">
      <c r="N3372" s="433"/>
    </row>
    <row r="3373" ht="12.75">
      <c r="N3373" s="433"/>
    </row>
    <row r="3374" ht="12.75">
      <c r="N3374" s="433"/>
    </row>
    <row r="3375" ht="12.75">
      <c r="N3375" s="433"/>
    </row>
    <row r="3376" ht="12.75">
      <c r="N3376" s="433"/>
    </row>
    <row r="3377" ht="12.75">
      <c r="N3377" s="433"/>
    </row>
    <row r="3378" ht="12.75">
      <c r="N3378" s="433"/>
    </row>
    <row r="3379" ht="12.75">
      <c r="N3379" s="433"/>
    </row>
    <row r="3380" ht="12.75">
      <c r="N3380" s="433"/>
    </row>
    <row r="3381" ht="12.75">
      <c r="N3381" s="433"/>
    </row>
    <row r="3382" ht="12.75">
      <c r="N3382" s="433"/>
    </row>
    <row r="3383" ht="12.75">
      <c r="N3383" s="433"/>
    </row>
    <row r="3384" ht="12.75">
      <c r="N3384" s="433"/>
    </row>
    <row r="3385" ht="12.75">
      <c r="N3385" s="433"/>
    </row>
    <row r="3386" ht="12.75">
      <c r="N3386" s="433"/>
    </row>
    <row r="3387" ht="12.75">
      <c r="N3387" s="433"/>
    </row>
    <row r="3388" ht="12.75">
      <c r="N3388" s="433"/>
    </row>
    <row r="3389" ht="12.75">
      <c r="N3389" s="433"/>
    </row>
    <row r="3390" ht="12.75">
      <c r="N3390" s="433"/>
    </row>
    <row r="3391" ht="12.75">
      <c r="N3391" s="433"/>
    </row>
    <row r="3392" ht="12.75">
      <c r="N3392" s="433"/>
    </row>
    <row r="3393" ht="12.75">
      <c r="N3393" s="433"/>
    </row>
    <row r="3394" ht="12.75">
      <c r="N3394" s="433"/>
    </row>
    <row r="3395" ht="12.75">
      <c r="N3395" s="433"/>
    </row>
    <row r="3396" ht="12.75">
      <c r="N3396" s="433"/>
    </row>
    <row r="3397" ht="12.75">
      <c r="N3397" s="433"/>
    </row>
    <row r="3398" ht="12.75">
      <c r="N3398" s="433"/>
    </row>
    <row r="3399" ht="12.75">
      <c r="N3399" s="433"/>
    </row>
    <row r="3400" ht="12.75">
      <c r="N3400" s="433"/>
    </row>
    <row r="3401" ht="12.75">
      <c r="N3401" s="433"/>
    </row>
    <row r="3402" ht="12.75">
      <c r="N3402" s="433"/>
    </row>
    <row r="3403" ht="12.75">
      <c r="N3403" s="433"/>
    </row>
    <row r="3404" ht="12.75">
      <c r="N3404" s="433"/>
    </row>
    <row r="3405" ht="12.75">
      <c r="N3405" s="433"/>
    </row>
    <row r="3406" ht="12.75">
      <c r="N3406" s="433"/>
    </row>
    <row r="3407" ht="12.75">
      <c r="N3407" s="433"/>
    </row>
    <row r="3408" ht="12.75">
      <c r="N3408" s="433"/>
    </row>
    <row r="3409" ht="12.75">
      <c r="N3409" s="433"/>
    </row>
    <row r="3410" ht="12.75">
      <c r="N3410" s="433"/>
    </row>
    <row r="3411" ht="12.75">
      <c r="N3411" s="433"/>
    </row>
    <row r="3412" ht="12.75">
      <c r="N3412" s="433"/>
    </row>
    <row r="3413" ht="12.75">
      <c r="N3413" s="433"/>
    </row>
    <row r="3414" ht="12.75">
      <c r="N3414" s="433"/>
    </row>
    <row r="3415" ht="12.75">
      <c r="N3415" s="433"/>
    </row>
    <row r="3416" ht="12.75">
      <c r="N3416" s="433"/>
    </row>
    <row r="3417" ht="12.75">
      <c r="N3417" s="433"/>
    </row>
    <row r="3418" ht="12.75">
      <c r="N3418" s="433"/>
    </row>
    <row r="3419" ht="12.75">
      <c r="N3419" s="433"/>
    </row>
    <row r="3420" ht="12.75">
      <c r="N3420" s="433"/>
    </row>
    <row r="3421" ht="12.75">
      <c r="N3421" s="433"/>
    </row>
    <row r="3422" ht="12.75">
      <c r="N3422" s="433"/>
    </row>
    <row r="3423" ht="12.75">
      <c r="N3423" s="433"/>
    </row>
    <row r="3424" ht="12.75">
      <c r="N3424" s="433"/>
    </row>
    <row r="3425" ht="12.75">
      <c r="N3425" s="433"/>
    </row>
    <row r="3426" ht="12.75">
      <c r="N3426" s="433"/>
    </row>
    <row r="3427" ht="12.75">
      <c r="N3427" s="433"/>
    </row>
    <row r="3428" ht="12.75">
      <c r="N3428" s="433"/>
    </row>
    <row r="3429" ht="12.75">
      <c r="N3429" s="433"/>
    </row>
    <row r="3430" ht="12.75">
      <c r="N3430" s="433"/>
    </row>
    <row r="3431" ht="12.75">
      <c r="N3431" s="433"/>
    </row>
    <row r="3432" ht="12.75">
      <c r="N3432" s="433"/>
    </row>
    <row r="3433" ht="12.75">
      <c r="N3433" s="433"/>
    </row>
    <row r="3434" ht="12.75">
      <c r="N3434" s="433"/>
    </row>
    <row r="3435" ht="12.75">
      <c r="N3435" s="433"/>
    </row>
    <row r="3436" ht="12.75">
      <c r="N3436" s="433"/>
    </row>
    <row r="3437" ht="12.75">
      <c r="N3437" s="433"/>
    </row>
    <row r="3438" ht="12.75">
      <c r="N3438" s="433"/>
    </row>
    <row r="3439" ht="12.75">
      <c r="N3439" s="433"/>
    </row>
    <row r="3440" ht="12.75">
      <c r="N3440" s="433"/>
    </row>
    <row r="3441" ht="12.75">
      <c r="N3441" s="433"/>
    </row>
    <row r="3442" ht="12.75">
      <c r="N3442" s="433"/>
    </row>
    <row r="3443" ht="12.75">
      <c r="N3443" s="433"/>
    </row>
    <row r="3444" ht="12.75">
      <c r="N3444" s="433"/>
    </row>
    <row r="3445" ht="12.75">
      <c r="N3445" s="433"/>
    </row>
    <row r="3446" ht="12.75">
      <c r="N3446" s="433"/>
    </row>
    <row r="3447" ht="12.75">
      <c r="N3447" s="433"/>
    </row>
    <row r="3448" ht="12.75">
      <c r="N3448" s="433"/>
    </row>
    <row r="3449" ht="12.75">
      <c r="N3449" s="433"/>
    </row>
    <row r="3450" ht="12.75">
      <c r="N3450" s="433"/>
    </row>
    <row r="3451" ht="12.75">
      <c r="N3451" s="433"/>
    </row>
    <row r="3452" ht="12.75">
      <c r="N3452" s="433"/>
    </row>
    <row r="3453" ht="12.75">
      <c r="N3453" s="433"/>
    </row>
    <row r="3454" ht="12.75">
      <c r="N3454" s="433"/>
    </row>
    <row r="3455" ht="12.75">
      <c r="N3455" s="433"/>
    </row>
    <row r="3456" ht="12.75">
      <c r="N3456" s="433"/>
    </row>
    <row r="3457" ht="12.75">
      <c r="N3457" s="433"/>
    </row>
    <row r="3458" ht="12.75">
      <c r="N3458" s="433"/>
    </row>
    <row r="3459" ht="12.75">
      <c r="N3459" s="433"/>
    </row>
    <row r="3460" ht="12.75">
      <c r="N3460" s="433"/>
    </row>
    <row r="3461" ht="12.75">
      <c r="N3461" s="433"/>
    </row>
    <row r="3462" ht="12.75">
      <c r="N3462" s="433"/>
    </row>
    <row r="3463" ht="12.75">
      <c r="N3463" s="433"/>
    </row>
    <row r="3464" ht="12.75">
      <c r="N3464" s="433"/>
    </row>
    <row r="3465" ht="12.75">
      <c r="N3465" s="433"/>
    </row>
    <row r="3466" ht="12.75">
      <c r="N3466" s="433"/>
    </row>
    <row r="3467" ht="12.75">
      <c r="N3467" s="433"/>
    </row>
    <row r="3468" ht="12.75">
      <c r="N3468" s="433"/>
    </row>
    <row r="3469" ht="12.75">
      <c r="N3469" s="433"/>
    </row>
    <row r="3470" ht="12.75">
      <c r="N3470" s="433"/>
    </row>
    <row r="3471" ht="12.75">
      <c r="N3471" s="433"/>
    </row>
    <row r="3472" ht="12.75">
      <c r="N3472" s="433"/>
    </row>
    <row r="3473" ht="12.75">
      <c r="N3473" s="433"/>
    </row>
    <row r="3474" ht="12.75">
      <c r="N3474" s="433"/>
    </row>
    <row r="3475" ht="12.75">
      <c r="N3475" s="433"/>
    </row>
    <row r="3476" ht="12.75">
      <c r="N3476" s="433"/>
    </row>
    <row r="3477" ht="12.75">
      <c r="N3477" s="433"/>
    </row>
    <row r="3478" ht="12.75">
      <c r="N3478" s="433"/>
    </row>
    <row r="3479" ht="12.75">
      <c r="N3479" s="433"/>
    </row>
    <row r="3480" ht="12.75">
      <c r="N3480" s="433"/>
    </row>
    <row r="3481" ht="12.75">
      <c r="N3481" s="433"/>
    </row>
    <row r="3482" ht="12.75">
      <c r="N3482" s="433"/>
    </row>
    <row r="3483" ht="12.75">
      <c r="N3483" s="433"/>
    </row>
    <row r="3484" ht="12.75">
      <c r="N3484" s="433"/>
    </row>
    <row r="3485" ht="12.75">
      <c r="N3485" s="433"/>
    </row>
    <row r="3486" ht="12.75">
      <c r="N3486" s="433"/>
    </row>
    <row r="3487" ht="12.75">
      <c r="N3487" s="433"/>
    </row>
    <row r="3488" ht="12.75">
      <c r="N3488" s="433"/>
    </row>
    <row r="3489" ht="12.75">
      <c r="N3489" s="433"/>
    </row>
    <row r="3490" ht="12.75">
      <c r="N3490" s="433"/>
    </row>
    <row r="3491" ht="12.75">
      <c r="N3491" s="433"/>
    </row>
    <row r="3492" ht="12.75">
      <c r="N3492" s="433"/>
    </row>
    <row r="3493" ht="12.75">
      <c r="N3493" s="433"/>
    </row>
    <row r="3494" ht="12.75">
      <c r="N3494" s="433"/>
    </row>
    <row r="3495" ht="12.75">
      <c r="N3495" s="433"/>
    </row>
    <row r="3496" ht="12.75">
      <c r="N3496" s="433"/>
    </row>
    <row r="3497" ht="12.75">
      <c r="N3497" s="433"/>
    </row>
    <row r="3498" ht="12.75">
      <c r="N3498" s="433"/>
    </row>
    <row r="3499" ht="12.75">
      <c r="N3499" s="433"/>
    </row>
    <row r="3500" ht="12.75">
      <c r="N3500" s="433"/>
    </row>
    <row r="3501" ht="12.75">
      <c r="N3501" s="433"/>
    </row>
    <row r="3502" ht="12.75">
      <c r="N3502" s="433"/>
    </row>
    <row r="3503" ht="12.75">
      <c r="N3503" s="433"/>
    </row>
    <row r="3504" ht="12.75">
      <c r="N3504" s="433"/>
    </row>
    <row r="3505" ht="12.75">
      <c r="N3505" s="433"/>
    </row>
    <row r="3506" ht="12.75">
      <c r="N3506" s="433"/>
    </row>
    <row r="3507" ht="12.75">
      <c r="N3507" s="433"/>
    </row>
    <row r="3508" ht="12.75">
      <c r="N3508" s="433"/>
    </row>
    <row r="3509" ht="12.75">
      <c r="N3509" s="433"/>
    </row>
    <row r="3510" ht="12.75">
      <c r="N3510" s="433"/>
    </row>
    <row r="3511" ht="12.75">
      <c r="N3511" s="433"/>
    </row>
    <row r="3512" ht="12.75">
      <c r="N3512" s="433"/>
    </row>
    <row r="3513" ht="12.75">
      <c r="N3513" s="433"/>
    </row>
    <row r="3514" ht="12.75">
      <c r="N3514" s="433"/>
    </row>
    <row r="3515" ht="12.75">
      <c r="N3515" s="433"/>
    </row>
    <row r="3516" ht="12.75">
      <c r="N3516" s="433"/>
    </row>
    <row r="3517" ht="12.75">
      <c r="N3517" s="433"/>
    </row>
    <row r="3518" ht="12.75">
      <c r="N3518" s="433"/>
    </row>
    <row r="3519" ht="12.75">
      <c r="N3519" s="433"/>
    </row>
    <row r="3520" ht="12.75">
      <c r="N3520" s="433"/>
    </row>
    <row r="3521" ht="12.75">
      <c r="N3521" s="433"/>
    </row>
    <row r="3522" ht="12.75">
      <c r="N3522" s="433"/>
    </row>
    <row r="3523" ht="12.75">
      <c r="N3523" s="433"/>
    </row>
    <row r="3524" ht="12.75">
      <c r="N3524" s="433"/>
    </row>
    <row r="3525" ht="12.75">
      <c r="N3525" s="433"/>
    </row>
    <row r="3526" ht="12.75">
      <c r="N3526" s="433"/>
    </row>
    <row r="3527" ht="12.75">
      <c r="N3527" s="433"/>
    </row>
    <row r="3528" ht="12.75">
      <c r="N3528" s="433"/>
    </row>
    <row r="3529" ht="12.75">
      <c r="N3529" s="433"/>
    </row>
    <row r="3530" ht="12.75">
      <c r="N3530" s="433"/>
    </row>
    <row r="3531" ht="12.75">
      <c r="N3531" s="433"/>
    </row>
    <row r="3532" ht="12.75">
      <c r="N3532" s="433"/>
    </row>
    <row r="3533" ht="12.75">
      <c r="N3533" s="433"/>
    </row>
    <row r="3534" ht="12.75">
      <c r="N3534" s="433"/>
    </row>
    <row r="3535" ht="12.75">
      <c r="N3535" s="433"/>
    </row>
    <row r="3536" ht="12.75">
      <c r="N3536" s="433"/>
    </row>
    <row r="3537" ht="12.75">
      <c r="N3537" s="433"/>
    </row>
    <row r="3538" ht="12.75">
      <c r="N3538" s="433"/>
    </row>
    <row r="3539" ht="12.75">
      <c r="N3539" s="433"/>
    </row>
    <row r="3540" ht="12.75">
      <c r="N3540" s="433"/>
    </row>
    <row r="3541" ht="12.75">
      <c r="N3541" s="433"/>
    </row>
    <row r="3542" ht="12.75">
      <c r="N3542" s="433"/>
    </row>
    <row r="3543" ht="12.75">
      <c r="N3543" s="433"/>
    </row>
    <row r="3544" ht="12.75">
      <c r="N3544" s="433"/>
    </row>
    <row r="3545" ht="12.75">
      <c r="N3545" s="433"/>
    </row>
    <row r="3546" ht="12.75">
      <c r="N3546" s="433"/>
    </row>
    <row r="3547" ht="12.75">
      <c r="N3547" s="433"/>
    </row>
    <row r="3548" ht="12.75">
      <c r="N3548" s="433"/>
    </row>
    <row r="3549" ht="12.75">
      <c r="N3549" s="433"/>
    </row>
    <row r="3550" ht="12.75">
      <c r="N3550" s="433"/>
    </row>
    <row r="3551" ht="12.75">
      <c r="N3551" s="433"/>
    </row>
    <row r="3552" ht="12.75">
      <c r="N3552" s="433"/>
    </row>
    <row r="3553" ht="12.75">
      <c r="N3553" s="433"/>
    </row>
    <row r="3554" ht="12.75">
      <c r="N3554" s="433"/>
    </row>
    <row r="3555" ht="12.75">
      <c r="N3555" s="433"/>
    </row>
    <row r="3556" ht="12.75">
      <c r="N3556" s="433"/>
    </row>
    <row r="3557" ht="12.75">
      <c r="N3557" s="433"/>
    </row>
    <row r="3558" ht="12.75">
      <c r="N3558" s="433"/>
    </row>
    <row r="3559" ht="12.75">
      <c r="N3559" s="433"/>
    </row>
    <row r="3560" ht="12.75">
      <c r="N3560" s="433"/>
    </row>
    <row r="3561" ht="12.75">
      <c r="N3561" s="433"/>
    </row>
    <row r="3562" ht="12.75">
      <c r="N3562" s="433"/>
    </row>
    <row r="3563" ht="12.75">
      <c r="N3563" s="433"/>
    </row>
    <row r="3564" ht="12.75">
      <c r="N3564" s="433"/>
    </row>
    <row r="3565" ht="12.75">
      <c r="N3565" s="433"/>
    </row>
    <row r="3566" ht="12.75">
      <c r="N3566" s="433"/>
    </row>
    <row r="3567" ht="12.75">
      <c r="N3567" s="433"/>
    </row>
    <row r="3568" ht="12.75">
      <c r="N3568" s="433"/>
    </row>
    <row r="3569" ht="12.75">
      <c r="N3569" s="433"/>
    </row>
    <row r="3570" ht="12.75">
      <c r="N3570" s="433"/>
    </row>
    <row r="3571" ht="12.75">
      <c r="N3571" s="433"/>
    </row>
    <row r="3572" ht="12.75">
      <c r="N3572" s="433"/>
    </row>
    <row r="3573" ht="12.75">
      <c r="N3573" s="433"/>
    </row>
    <row r="3574" ht="12.75">
      <c r="N3574" s="433"/>
    </row>
    <row r="3575" ht="12.75">
      <c r="N3575" s="433"/>
    </row>
    <row r="3576" ht="12.75">
      <c r="N3576" s="433"/>
    </row>
    <row r="3577" ht="12.75">
      <c r="N3577" s="433"/>
    </row>
    <row r="3578" ht="12.75">
      <c r="N3578" s="433"/>
    </row>
    <row r="3579" ht="12.75">
      <c r="N3579" s="433"/>
    </row>
    <row r="3580" ht="12.75">
      <c r="N3580" s="433"/>
    </row>
    <row r="3581" ht="12.75">
      <c r="N3581" s="433"/>
    </row>
    <row r="3582" ht="12.75">
      <c r="N3582" s="433"/>
    </row>
    <row r="3583" ht="12.75">
      <c r="N3583" s="433"/>
    </row>
    <row r="3584" ht="12.75">
      <c r="N3584" s="433"/>
    </row>
    <row r="3585" ht="12.75">
      <c r="N3585" s="433"/>
    </row>
    <row r="3586" ht="12.75">
      <c r="N3586" s="433"/>
    </row>
    <row r="3587" ht="12.75">
      <c r="N3587" s="433"/>
    </row>
    <row r="3588" ht="12.75">
      <c r="N3588" s="433"/>
    </row>
    <row r="3589" ht="12.75">
      <c r="N3589" s="433"/>
    </row>
    <row r="3590" ht="12.75">
      <c r="N3590" s="433"/>
    </row>
    <row r="3591" ht="12.75">
      <c r="N3591" s="433"/>
    </row>
    <row r="3592" ht="12.75">
      <c r="N3592" s="433"/>
    </row>
    <row r="3593" ht="12.75">
      <c r="N3593" s="433"/>
    </row>
    <row r="3594" ht="12.75">
      <c r="N3594" s="433"/>
    </row>
    <row r="3595" ht="12.75">
      <c r="N3595" s="433"/>
    </row>
    <row r="3596" ht="12.75">
      <c r="N3596" s="433"/>
    </row>
    <row r="3597" ht="12.75">
      <c r="N3597" s="433"/>
    </row>
    <row r="3598" ht="12.75">
      <c r="N3598" s="433"/>
    </row>
    <row r="3599" ht="12.75">
      <c r="N3599" s="433"/>
    </row>
    <row r="3600" ht="12.75">
      <c r="N3600" s="433"/>
    </row>
    <row r="3601" ht="12.75">
      <c r="N3601" s="433"/>
    </row>
    <row r="3602" ht="12.75">
      <c r="N3602" s="433"/>
    </row>
    <row r="3603" ht="12.75">
      <c r="N3603" s="433"/>
    </row>
    <row r="3604" ht="12.75">
      <c r="N3604" s="433"/>
    </row>
    <row r="3605" ht="12.75">
      <c r="N3605" s="433"/>
    </row>
    <row r="3606" ht="12.75">
      <c r="N3606" s="433"/>
    </row>
    <row r="3607" ht="12.75">
      <c r="N3607" s="433"/>
    </row>
    <row r="3608" ht="12.75">
      <c r="N3608" s="433"/>
    </row>
    <row r="3609" ht="12.75">
      <c r="N3609" s="433"/>
    </row>
    <row r="3610" ht="12.75">
      <c r="N3610" s="433"/>
    </row>
    <row r="3611" ht="12.75">
      <c r="N3611" s="433"/>
    </row>
    <row r="3612" ht="12.75">
      <c r="N3612" s="433"/>
    </row>
    <row r="3613" ht="12.75">
      <c r="N3613" s="433"/>
    </row>
    <row r="3614" ht="12.75">
      <c r="N3614" s="433"/>
    </row>
    <row r="3615" ht="12.75">
      <c r="N3615" s="433"/>
    </row>
    <row r="3616" ht="12.75">
      <c r="N3616" s="433"/>
    </row>
    <row r="3617" ht="12.75">
      <c r="N3617" s="433"/>
    </row>
    <row r="3618" ht="12.75">
      <c r="N3618" s="433"/>
    </row>
    <row r="3619" ht="12.75">
      <c r="N3619" s="433"/>
    </row>
    <row r="3620" ht="12.75">
      <c r="N3620" s="433"/>
    </row>
    <row r="3621" ht="12.75">
      <c r="N3621" s="433"/>
    </row>
    <row r="3622" ht="12.75">
      <c r="N3622" s="433"/>
    </row>
    <row r="3623" ht="12.75">
      <c r="N3623" s="433"/>
    </row>
    <row r="3624" ht="12.75">
      <c r="N3624" s="433"/>
    </row>
    <row r="3625" ht="12.75">
      <c r="N3625" s="433"/>
    </row>
    <row r="3626" ht="12.75">
      <c r="N3626" s="433"/>
    </row>
    <row r="3627" ht="12.75">
      <c r="N3627" s="433"/>
    </row>
    <row r="3628" ht="12.75">
      <c r="N3628" s="433"/>
    </row>
    <row r="3629" ht="12.75">
      <c r="N3629" s="433"/>
    </row>
    <row r="3630" ht="12.75">
      <c r="N3630" s="433"/>
    </row>
    <row r="3631" ht="12.75">
      <c r="N3631" s="433"/>
    </row>
    <row r="3632" ht="12.75">
      <c r="N3632" s="433"/>
    </row>
    <row r="3633" ht="12.75">
      <c r="N3633" s="433"/>
    </row>
    <row r="3634" ht="12.75">
      <c r="N3634" s="433"/>
    </row>
    <row r="3635" ht="12.75">
      <c r="N3635" s="433"/>
    </row>
    <row r="3636" ht="12.75">
      <c r="N3636" s="433"/>
    </row>
    <row r="3637" ht="12.75">
      <c r="N3637" s="433"/>
    </row>
    <row r="3638" ht="12.75">
      <c r="N3638" s="433"/>
    </row>
    <row r="3639" ht="12.75">
      <c r="N3639" s="433"/>
    </row>
    <row r="3640" ht="12.75">
      <c r="N3640" s="433"/>
    </row>
    <row r="3641" ht="12.75">
      <c r="N3641" s="433"/>
    </row>
    <row r="3642" ht="12.75">
      <c r="N3642" s="433"/>
    </row>
    <row r="3643" ht="12.75">
      <c r="N3643" s="433"/>
    </row>
    <row r="3644" ht="12.75">
      <c r="N3644" s="433"/>
    </row>
    <row r="3645" ht="12.75">
      <c r="N3645" s="433"/>
    </row>
    <row r="3646" ht="12.75">
      <c r="N3646" s="433"/>
    </row>
    <row r="3647" ht="12.75">
      <c r="N3647" s="433"/>
    </row>
    <row r="3648" ht="12.75">
      <c r="N3648" s="433"/>
    </row>
    <row r="3649" ht="12.75">
      <c r="N3649" s="433"/>
    </row>
    <row r="3650" ht="12.75">
      <c r="N3650" s="433"/>
    </row>
    <row r="3651" ht="12.75">
      <c r="N3651" s="433"/>
    </row>
    <row r="3652" ht="12.75">
      <c r="N3652" s="433"/>
    </row>
    <row r="3653" ht="12.75">
      <c r="N3653" s="433"/>
    </row>
    <row r="3654" ht="12.75">
      <c r="N3654" s="433"/>
    </row>
    <row r="3655" ht="12.75">
      <c r="N3655" s="433"/>
    </row>
    <row r="3656" ht="12.75">
      <c r="N3656" s="433"/>
    </row>
    <row r="3657" ht="12.75">
      <c r="N3657" s="433"/>
    </row>
    <row r="3658" ht="12.75">
      <c r="N3658" s="433"/>
    </row>
    <row r="3659" ht="12.75">
      <c r="N3659" s="433"/>
    </row>
    <row r="3660" ht="12.75">
      <c r="N3660" s="433"/>
    </row>
    <row r="3661" ht="12.75">
      <c r="N3661" s="433"/>
    </row>
    <row r="3662" ht="12.75">
      <c r="N3662" s="433"/>
    </row>
    <row r="3663" ht="12.75">
      <c r="N3663" s="433"/>
    </row>
    <row r="3664" ht="12.75">
      <c r="N3664" s="433"/>
    </row>
    <row r="3665" ht="12.75">
      <c r="N3665" s="433"/>
    </row>
    <row r="3666" ht="12.75">
      <c r="N3666" s="433"/>
    </row>
    <row r="3667" ht="12.75">
      <c r="N3667" s="433"/>
    </row>
    <row r="3668" ht="12.75">
      <c r="N3668" s="433"/>
    </row>
    <row r="3669" ht="12.75">
      <c r="N3669" s="433"/>
    </row>
    <row r="3670" ht="12.75">
      <c r="N3670" s="433"/>
    </row>
    <row r="3671" ht="12.75">
      <c r="N3671" s="433"/>
    </row>
    <row r="3672" ht="12.75">
      <c r="N3672" s="433"/>
    </row>
    <row r="3673" ht="12.75">
      <c r="N3673" s="433"/>
    </row>
    <row r="3674" ht="12.75">
      <c r="N3674" s="433"/>
    </row>
    <row r="3675" ht="12.75">
      <c r="N3675" s="433"/>
    </row>
    <row r="3676" ht="12.75">
      <c r="N3676" s="433"/>
    </row>
    <row r="3677" ht="12.75">
      <c r="N3677" s="433"/>
    </row>
    <row r="3678" ht="12.75">
      <c r="N3678" s="433"/>
    </row>
    <row r="3679" ht="12.75">
      <c r="N3679" s="433"/>
    </row>
    <row r="3680" ht="12.75">
      <c r="N3680" s="433"/>
    </row>
    <row r="3681" ht="12.75">
      <c r="N3681" s="433"/>
    </row>
    <row r="3682" ht="12.75">
      <c r="N3682" s="433"/>
    </row>
    <row r="3683" ht="12.75">
      <c r="N3683" s="433"/>
    </row>
    <row r="3684" ht="12.75">
      <c r="N3684" s="433"/>
    </row>
    <row r="3685" ht="12.75">
      <c r="N3685" s="433"/>
    </row>
    <row r="3686" ht="12.75">
      <c r="N3686" s="433"/>
    </row>
    <row r="3687" ht="12.75">
      <c r="N3687" s="433"/>
    </row>
    <row r="3688" ht="12.75">
      <c r="N3688" s="433"/>
    </row>
    <row r="3689" ht="12.75">
      <c r="N3689" s="433"/>
    </row>
    <row r="3690" ht="12.75">
      <c r="N3690" s="433"/>
    </row>
    <row r="3691" ht="12.75">
      <c r="N3691" s="433"/>
    </row>
    <row r="3692" ht="12.75">
      <c r="N3692" s="433"/>
    </row>
    <row r="3693" ht="12.75">
      <c r="N3693" s="433"/>
    </row>
    <row r="3694" ht="12.75">
      <c r="N3694" s="433"/>
    </row>
    <row r="3695" ht="12.75">
      <c r="N3695" s="433"/>
    </row>
    <row r="3696" ht="12.75">
      <c r="N3696" s="433"/>
    </row>
    <row r="3697" ht="12.75">
      <c r="N3697" s="433"/>
    </row>
    <row r="3698" ht="12.75">
      <c r="N3698" s="433"/>
    </row>
    <row r="3699" ht="12.75">
      <c r="N3699" s="433"/>
    </row>
    <row r="3700" ht="12.75">
      <c r="N3700" s="433"/>
    </row>
    <row r="3701" ht="12.75">
      <c r="N3701" s="433"/>
    </row>
    <row r="3702" ht="12.75">
      <c r="N3702" s="433"/>
    </row>
    <row r="3703" ht="12.75">
      <c r="N3703" s="433"/>
    </row>
    <row r="3704" ht="12.75">
      <c r="N3704" s="433"/>
    </row>
    <row r="3705" ht="12.75">
      <c r="N3705" s="433"/>
    </row>
    <row r="3706" ht="12.75">
      <c r="N3706" s="433"/>
    </row>
    <row r="3707" ht="12.75">
      <c r="N3707" s="433"/>
    </row>
    <row r="3708" ht="12.75">
      <c r="N3708" s="433"/>
    </row>
    <row r="3709" ht="12.75">
      <c r="N3709" s="433"/>
    </row>
    <row r="3710" ht="12.75">
      <c r="N3710" s="433"/>
    </row>
    <row r="3711" ht="12.75">
      <c r="N3711" s="433"/>
    </row>
    <row r="3712" ht="12.75">
      <c r="N3712" s="433"/>
    </row>
    <row r="3713" ht="12.75">
      <c r="N3713" s="433"/>
    </row>
    <row r="3714" ht="12.75">
      <c r="N3714" s="433"/>
    </row>
    <row r="3715" ht="12.75">
      <c r="N3715" s="433"/>
    </row>
    <row r="3716" ht="12.75">
      <c r="N3716" s="433"/>
    </row>
    <row r="3717" ht="12.75">
      <c r="N3717" s="433"/>
    </row>
    <row r="3718" ht="12.75">
      <c r="N3718" s="433"/>
    </row>
    <row r="3719" ht="12.75">
      <c r="N3719" s="433"/>
    </row>
    <row r="3720" ht="12.75">
      <c r="N3720" s="433"/>
    </row>
    <row r="3721" ht="12.75">
      <c r="N3721" s="433"/>
    </row>
    <row r="3722" ht="12.75">
      <c r="N3722" s="433"/>
    </row>
    <row r="3723" ht="12.75">
      <c r="N3723" s="433"/>
    </row>
    <row r="3724" ht="12.75">
      <c r="N3724" s="433"/>
    </row>
    <row r="3725" ht="12.75">
      <c r="N3725" s="433"/>
    </row>
    <row r="3726" ht="12.75">
      <c r="N3726" s="433"/>
    </row>
    <row r="3727" ht="12.75">
      <c r="N3727" s="433"/>
    </row>
    <row r="3728" ht="12.75">
      <c r="N3728" s="433"/>
    </row>
    <row r="3729" ht="12.75">
      <c r="N3729" s="433"/>
    </row>
    <row r="3730" ht="12.75">
      <c r="N3730" s="433"/>
    </row>
    <row r="3731" ht="12.75">
      <c r="N3731" s="433"/>
    </row>
    <row r="3732" ht="12.75">
      <c r="N3732" s="433"/>
    </row>
    <row r="3733" ht="12.75">
      <c r="N3733" s="433"/>
    </row>
    <row r="3734" ht="12.75">
      <c r="N3734" s="433"/>
    </row>
    <row r="3735" ht="12.75">
      <c r="N3735" s="433"/>
    </row>
    <row r="3736" ht="12.75">
      <c r="N3736" s="433"/>
    </row>
    <row r="3737" ht="12.75">
      <c r="N3737" s="433"/>
    </row>
    <row r="3738" ht="12.75">
      <c r="N3738" s="433"/>
    </row>
    <row r="3739" ht="12.75">
      <c r="N3739" s="433"/>
    </row>
    <row r="3740" ht="12.75">
      <c r="N3740" s="433"/>
    </row>
    <row r="3741" ht="12.75">
      <c r="N3741" s="433"/>
    </row>
    <row r="3742" ht="12.75">
      <c r="N3742" s="433"/>
    </row>
    <row r="3743" ht="12.75">
      <c r="N3743" s="433"/>
    </row>
    <row r="3744" ht="12.75">
      <c r="N3744" s="433"/>
    </row>
    <row r="3745" ht="12.75">
      <c r="N3745" s="433"/>
    </row>
    <row r="3746" ht="12.75">
      <c r="N3746" s="433"/>
    </row>
    <row r="3747" ht="12.75">
      <c r="N3747" s="433"/>
    </row>
    <row r="3748" ht="12.75">
      <c r="N3748" s="433"/>
    </row>
    <row r="3749" ht="12.75">
      <c r="N3749" s="433"/>
    </row>
    <row r="3750" ht="12.75">
      <c r="N3750" s="433"/>
    </row>
    <row r="3751" ht="12.75">
      <c r="N3751" s="433"/>
    </row>
    <row r="3752" ht="12.75">
      <c r="N3752" s="433"/>
    </row>
    <row r="3753" ht="12.75">
      <c r="N3753" s="433"/>
    </row>
    <row r="3754" ht="12.75">
      <c r="N3754" s="433"/>
    </row>
    <row r="3755" ht="12.75">
      <c r="N3755" s="433"/>
    </row>
    <row r="3756" ht="12.75">
      <c r="N3756" s="433"/>
    </row>
    <row r="3757" ht="12.75">
      <c r="N3757" s="433"/>
    </row>
    <row r="3758" ht="12.75">
      <c r="N3758" s="433"/>
    </row>
    <row r="3759" ht="12.75">
      <c r="N3759" s="433"/>
    </row>
    <row r="3760" ht="12.75">
      <c r="N3760" s="433"/>
    </row>
    <row r="3761" ht="12.75">
      <c r="N3761" s="433"/>
    </row>
    <row r="3762" ht="12.75">
      <c r="N3762" s="433"/>
    </row>
    <row r="3763" ht="12.75">
      <c r="N3763" s="433"/>
    </row>
    <row r="3764" ht="12.75">
      <c r="N3764" s="433"/>
    </row>
    <row r="3765" ht="12.75">
      <c r="N3765" s="433"/>
    </row>
    <row r="3766" ht="12.75">
      <c r="N3766" s="433"/>
    </row>
    <row r="3767" ht="12.75">
      <c r="N3767" s="433"/>
    </row>
    <row r="3768" ht="12.75">
      <c r="N3768" s="433"/>
    </row>
    <row r="3769" ht="12.75">
      <c r="N3769" s="433"/>
    </row>
    <row r="3770" ht="12.75">
      <c r="N3770" s="433"/>
    </row>
    <row r="3771" ht="12.75">
      <c r="N3771" s="433"/>
    </row>
    <row r="3772" ht="12.75">
      <c r="N3772" s="433"/>
    </row>
    <row r="3773" ht="12.75">
      <c r="N3773" s="433"/>
    </row>
    <row r="3774" ht="12.75">
      <c r="N3774" s="433"/>
    </row>
    <row r="3775" ht="12.75">
      <c r="N3775" s="433"/>
    </row>
    <row r="3776" ht="12.75">
      <c r="N3776" s="433"/>
    </row>
    <row r="3777" ht="12.75">
      <c r="N3777" s="433"/>
    </row>
    <row r="3778" ht="12.75">
      <c r="N3778" s="433"/>
    </row>
    <row r="3779" ht="12.75">
      <c r="N3779" s="433"/>
    </row>
    <row r="3780" ht="12.75">
      <c r="N3780" s="433"/>
    </row>
    <row r="3781" ht="12.75">
      <c r="N3781" s="433"/>
    </row>
    <row r="3782" ht="12.75">
      <c r="N3782" s="433"/>
    </row>
    <row r="3783" ht="12.75">
      <c r="N3783" s="433"/>
    </row>
    <row r="3784" ht="12.75">
      <c r="N3784" s="433"/>
    </row>
    <row r="3785" ht="12.75">
      <c r="N3785" s="433"/>
    </row>
    <row r="3786" ht="12.75">
      <c r="N3786" s="433"/>
    </row>
    <row r="3787" ht="12.75">
      <c r="N3787" s="433"/>
    </row>
    <row r="3788" ht="12.75">
      <c r="N3788" s="433"/>
    </row>
    <row r="3789" ht="12.75">
      <c r="N3789" s="433"/>
    </row>
    <row r="3790" ht="12.75">
      <c r="N3790" s="433"/>
    </row>
    <row r="3791" ht="12.75">
      <c r="N3791" s="433"/>
    </row>
    <row r="3792" ht="12.75">
      <c r="N3792" s="433"/>
    </row>
    <row r="3793" ht="12.75">
      <c r="N3793" s="433"/>
    </row>
    <row r="3794" ht="12.75">
      <c r="N3794" s="433"/>
    </row>
    <row r="3795" ht="12.75">
      <c r="N3795" s="433"/>
    </row>
    <row r="3796" ht="12.75">
      <c r="N3796" s="433"/>
    </row>
    <row r="3797" ht="12.75">
      <c r="N3797" s="433"/>
    </row>
    <row r="3798" ht="12.75">
      <c r="N3798" s="433"/>
    </row>
    <row r="3799" ht="12.75">
      <c r="N3799" s="433"/>
    </row>
    <row r="3800" ht="12.75">
      <c r="N3800" s="433"/>
    </row>
    <row r="3801" ht="12.75">
      <c r="N3801" s="433"/>
    </row>
    <row r="3802" ht="12.75">
      <c r="N3802" s="433"/>
    </row>
    <row r="3803" ht="12.75">
      <c r="N3803" s="433"/>
    </row>
    <row r="3804" ht="12.75">
      <c r="N3804" s="433"/>
    </row>
    <row r="3805" ht="12.75">
      <c r="N3805" s="433"/>
    </row>
    <row r="3806" ht="12.75">
      <c r="N3806" s="433"/>
    </row>
    <row r="3807" ht="12.75">
      <c r="N3807" s="433"/>
    </row>
    <row r="3808" ht="12.75">
      <c r="N3808" s="433"/>
    </row>
    <row r="3809" ht="12.75">
      <c r="N3809" s="433"/>
    </row>
    <row r="3810" ht="12.75">
      <c r="N3810" s="433"/>
    </row>
    <row r="3811" ht="12.75">
      <c r="N3811" s="433"/>
    </row>
    <row r="3812" ht="12.75">
      <c r="N3812" s="433"/>
    </row>
    <row r="3813" ht="12.75">
      <c r="N3813" s="433"/>
    </row>
    <row r="3814" ht="12.75">
      <c r="N3814" s="433"/>
    </row>
    <row r="3815" ht="12.75">
      <c r="N3815" s="433"/>
    </row>
    <row r="3816" ht="12.75">
      <c r="N3816" s="433"/>
    </row>
    <row r="3817" ht="12.75">
      <c r="N3817" s="433"/>
    </row>
    <row r="3818" ht="12.75">
      <c r="N3818" s="433"/>
    </row>
    <row r="3819" ht="12.75">
      <c r="N3819" s="433"/>
    </row>
    <row r="3820" ht="12.75">
      <c r="N3820" s="433"/>
    </row>
    <row r="3821" ht="12.75">
      <c r="N3821" s="433"/>
    </row>
    <row r="3822" ht="12.75">
      <c r="N3822" s="433"/>
    </row>
    <row r="3823" ht="12.75">
      <c r="N3823" s="433"/>
    </row>
    <row r="3824" ht="12.75">
      <c r="N3824" s="433"/>
    </row>
    <row r="3825" ht="12.75">
      <c r="N3825" s="433"/>
    </row>
    <row r="3826" ht="12.75">
      <c r="N3826" s="433"/>
    </row>
    <row r="3827" ht="12.75">
      <c r="N3827" s="433"/>
    </row>
    <row r="3828" ht="12.75">
      <c r="N3828" s="433"/>
    </row>
    <row r="3829" ht="12.75">
      <c r="N3829" s="433"/>
    </row>
    <row r="3830" ht="12.75">
      <c r="N3830" s="433"/>
    </row>
    <row r="3831" ht="12.75">
      <c r="N3831" s="433"/>
    </row>
    <row r="3832" ht="12.75">
      <c r="N3832" s="433"/>
    </row>
    <row r="3833" ht="12.75">
      <c r="N3833" s="433"/>
    </row>
    <row r="3834" ht="12.75">
      <c r="N3834" s="433"/>
    </row>
    <row r="3835" ht="12.75">
      <c r="N3835" s="433"/>
    </row>
    <row r="3836" ht="12.75">
      <c r="N3836" s="433"/>
    </row>
    <row r="3837" ht="12.75">
      <c r="N3837" s="433"/>
    </row>
    <row r="3838" ht="12.75">
      <c r="N3838" s="433"/>
    </row>
    <row r="3839" ht="12.75">
      <c r="N3839" s="433"/>
    </row>
    <row r="3840" ht="12.75">
      <c r="N3840" s="433"/>
    </row>
    <row r="3841" ht="12.75">
      <c r="N3841" s="433"/>
    </row>
    <row r="3842" ht="12.75">
      <c r="N3842" s="433"/>
    </row>
    <row r="3843" ht="12.75">
      <c r="N3843" s="433"/>
    </row>
    <row r="3844" ht="12.75">
      <c r="N3844" s="433"/>
    </row>
    <row r="3845" ht="12.75">
      <c r="N3845" s="433"/>
    </row>
    <row r="3846" ht="12.75">
      <c r="N3846" s="433"/>
    </row>
    <row r="3847" ht="12.75">
      <c r="N3847" s="433"/>
    </row>
    <row r="3848" ht="12.75">
      <c r="N3848" s="433"/>
    </row>
    <row r="3849" ht="12.75">
      <c r="N3849" s="433"/>
    </row>
    <row r="3850" ht="12.75">
      <c r="N3850" s="433"/>
    </row>
    <row r="3851" ht="12.75">
      <c r="N3851" s="433"/>
    </row>
    <row r="3852" ht="12.75">
      <c r="N3852" s="433"/>
    </row>
    <row r="3853" ht="12.75">
      <c r="N3853" s="433"/>
    </row>
    <row r="3854" ht="12.75">
      <c r="N3854" s="433"/>
    </row>
    <row r="3855" ht="12.75">
      <c r="N3855" s="433"/>
    </row>
    <row r="3856" ht="12.75">
      <c r="N3856" s="433"/>
    </row>
    <row r="3857" ht="12.75">
      <c r="N3857" s="433"/>
    </row>
    <row r="3858" ht="12.75">
      <c r="N3858" s="433"/>
    </row>
    <row r="3859" ht="12.75">
      <c r="N3859" s="433"/>
    </row>
    <row r="3860" ht="12.75">
      <c r="N3860" s="433"/>
    </row>
    <row r="3861" ht="12.75">
      <c r="N3861" s="433"/>
    </row>
    <row r="3862" ht="12.75">
      <c r="N3862" s="433"/>
    </row>
    <row r="3863" ht="12.75">
      <c r="N3863" s="433"/>
    </row>
    <row r="3864" ht="12.75">
      <c r="N3864" s="433"/>
    </row>
    <row r="3865" ht="12.75">
      <c r="N3865" s="433"/>
    </row>
    <row r="3866" ht="12.75">
      <c r="N3866" s="433"/>
    </row>
    <row r="3867" ht="12.75">
      <c r="N3867" s="433"/>
    </row>
    <row r="3868" ht="12.75">
      <c r="N3868" s="433"/>
    </row>
    <row r="3869" ht="12.75">
      <c r="N3869" s="433"/>
    </row>
    <row r="3870" ht="12.75">
      <c r="N3870" s="433"/>
    </row>
    <row r="3871" ht="12.75">
      <c r="N3871" s="433"/>
    </row>
    <row r="3872" ht="12.75">
      <c r="N3872" s="433"/>
    </row>
    <row r="3873" ht="12.75">
      <c r="N3873" s="433"/>
    </row>
    <row r="3874" ht="12.75">
      <c r="N3874" s="433"/>
    </row>
    <row r="3875" ht="12.75">
      <c r="N3875" s="433"/>
    </row>
    <row r="3876" ht="12.75">
      <c r="N3876" s="433"/>
    </row>
    <row r="3877" ht="12.75">
      <c r="N3877" s="433"/>
    </row>
    <row r="3878" ht="12.75">
      <c r="N3878" s="433"/>
    </row>
    <row r="3879" ht="12.75">
      <c r="N3879" s="433"/>
    </row>
    <row r="3880" ht="12.75">
      <c r="N3880" s="433"/>
    </row>
    <row r="3881" ht="12.75">
      <c r="N3881" s="433"/>
    </row>
    <row r="3882" ht="12.75">
      <c r="N3882" s="433"/>
    </row>
    <row r="3883" ht="12.75">
      <c r="N3883" s="433"/>
    </row>
    <row r="3884" ht="12.75">
      <c r="N3884" s="433"/>
    </row>
    <row r="3885" ht="12.75">
      <c r="N3885" s="433"/>
    </row>
    <row r="3886" ht="12.75">
      <c r="N3886" s="433"/>
    </row>
    <row r="3887" ht="12.75">
      <c r="N3887" s="433"/>
    </row>
    <row r="3888" ht="12.75">
      <c r="N3888" s="433"/>
    </row>
    <row r="3889" ht="12.75">
      <c r="N3889" s="433"/>
    </row>
    <row r="3890" ht="12.75">
      <c r="N3890" s="433"/>
    </row>
    <row r="3891" ht="12.75">
      <c r="N3891" s="433"/>
    </row>
    <row r="3892" ht="12.75">
      <c r="N3892" s="433"/>
    </row>
    <row r="3893" ht="12.75">
      <c r="N3893" s="433"/>
    </row>
    <row r="3894" ht="12.75">
      <c r="N3894" s="433"/>
    </row>
    <row r="3895" ht="12.75">
      <c r="N3895" s="433"/>
    </row>
    <row r="3896" ht="12.75">
      <c r="N3896" s="433"/>
    </row>
    <row r="3897" ht="12.75">
      <c r="N3897" s="433"/>
    </row>
    <row r="3898" ht="12.75">
      <c r="N3898" s="433"/>
    </row>
    <row r="3899" ht="12.75">
      <c r="N3899" s="433"/>
    </row>
    <row r="3900" ht="12.75">
      <c r="N3900" s="433"/>
    </row>
    <row r="3901" ht="12.75">
      <c r="N3901" s="433"/>
    </row>
    <row r="3902" ht="12.75">
      <c r="N3902" s="433"/>
    </row>
    <row r="3903" ht="12.75">
      <c r="N3903" s="433"/>
    </row>
    <row r="3904" ht="12.75">
      <c r="N3904" s="433"/>
    </row>
    <row r="3905" ht="12.75">
      <c r="N3905" s="433"/>
    </row>
    <row r="3906" ht="12.75">
      <c r="N3906" s="433"/>
    </row>
    <row r="3907" ht="12.75">
      <c r="N3907" s="433"/>
    </row>
    <row r="3908" ht="12.75">
      <c r="N3908" s="433"/>
    </row>
    <row r="3909" ht="12.75">
      <c r="N3909" s="433"/>
    </row>
    <row r="3910" ht="12.75">
      <c r="N3910" s="433"/>
    </row>
    <row r="3911" ht="12.75">
      <c r="N3911" s="433"/>
    </row>
    <row r="3912" ht="12.75">
      <c r="N3912" s="433"/>
    </row>
    <row r="3913" ht="12.75">
      <c r="N3913" s="433"/>
    </row>
    <row r="3914" ht="12.75">
      <c r="N3914" s="433"/>
    </row>
    <row r="3915" ht="12.75">
      <c r="N3915" s="433"/>
    </row>
    <row r="3916" ht="12.75">
      <c r="N3916" s="433"/>
    </row>
    <row r="3917" ht="12.75">
      <c r="N3917" s="433"/>
    </row>
    <row r="3918" ht="12.75">
      <c r="N3918" s="433"/>
    </row>
    <row r="3919" ht="12.75">
      <c r="N3919" s="433"/>
    </row>
    <row r="3920" ht="12.75">
      <c r="N3920" s="433"/>
    </row>
    <row r="3921" ht="12.75">
      <c r="N3921" s="433"/>
    </row>
    <row r="3922" ht="12.75">
      <c r="N3922" s="433"/>
    </row>
    <row r="3923" ht="12.75">
      <c r="N3923" s="433"/>
    </row>
    <row r="3924" ht="12.75">
      <c r="N3924" s="433"/>
    </row>
    <row r="3925" ht="12.75">
      <c r="N3925" s="433"/>
    </row>
    <row r="3926" ht="12.75">
      <c r="N3926" s="433"/>
    </row>
    <row r="3927" ht="12.75">
      <c r="N3927" s="433"/>
    </row>
    <row r="3928" ht="12.75">
      <c r="N3928" s="433"/>
    </row>
    <row r="3929" ht="12.75">
      <c r="N3929" s="433"/>
    </row>
    <row r="3930" ht="12.75">
      <c r="N3930" s="433"/>
    </row>
    <row r="3931" ht="12.75">
      <c r="N3931" s="433"/>
    </row>
    <row r="3932" ht="12.75">
      <c r="N3932" s="433"/>
    </row>
    <row r="3933" ht="12.75">
      <c r="N3933" s="433"/>
    </row>
    <row r="3934" ht="12.75">
      <c r="N3934" s="433"/>
    </row>
    <row r="3935" ht="12.75">
      <c r="N3935" s="433"/>
    </row>
    <row r="3936" ht="12.75">
      <c r="N3936" s="433"/>
    </row>
    <row r="3937" ht="12.75">
      <c r="N3937" s="433"/>
    </row>
    <row r="3938" ht="12.75">
      <c r="N3938" s="433"/>
    </row>
    <row r="3939" ht="12.75">
      <c r="N3939" s="433"/>
    </row>
    <row r="3940" ht="12.75">
      <c r="N3940" s="433"/>
    </row>
    <row r="3941" ht="12.75">
      <c r="N3941" s="433"/>
    </row>
    <row r="3942" ht="12.75">
      <c r="N3942" s="433"/>
    </row>
    <row r="3943" ht="12.75">
      <c r="N3943" s="433"/>
    </row>
    <row r="3944" ht="12.75">
      <c r="N3944" s="433"/>
    </row>
    <row r="3945" ht="12.75">
      <c r="N3945" s="433"/>
    </row>
    <row r="3946" ht="12.75">
      <c r="N3946" s="433"/>
    </row>
    <row r="3947" ht="12.75">
      <c r="N3947" s="433"/>
    </row>
    <row r="3948" ht="12.75">
      <c r="N3948" s="433"/>
    </row>
    <row r="3949" ht="12.75">
      <c r="N3949" s="433"/>
    </row>
    <row r="3950" ht="12.75">
      <c r="N3950" s="433"/>
    </row>
    <row r="3951" ht="12.75">
      <c r="N3951" s="433"/>
    </row>
    <row r="3952" ht="12.75">
      <c r="N3952" s="433"/>
    </row>
    <row r="3953" ht="12.75">
      <c r="N3953" s="433"/>
    </row>
    <row r="3954" ht="12.75">
      <c r="N3954" s="433"/>
    </row>
    <row r="3955" ht="12.75">
      <c r="N3955" s="433"/>
    </row>
    <row r="3956" ht="12.75">
      <c r="N3956" s="433"/>
    </row>
    <row r="3957" ht="12.75">
      <c r="N3957" s="433"/>
    </row>
    <row r="3958" ht="12.75">
      <c r="N3958" s="433"/>
    </row>
    <row r="3959" ht="12.75">
      <c r="N3959" s="433"/>
    </row>
    <row r="3960" ht="12.75">
      <c r="N3960" s="433"/>
    </row>
    <row r="3961" ht="12.75">
      <c r="N3961" s="433"/>
    </row>
    <row r="3962" ht="12.75">
      <c r="N3962" s="433"/>
    </row>
    <row r="3963" ht="12.75">
      <c r="N3963" s="433"/>
    </row>
    <row r="3964" ht="12.75">
      <c r="N3964" s="433"/>
    </row>
    <row r="3965" ht="12.75">
      <c r="N3965" s="433"/>
    </row>
    <row r="3966" ht="12.75">
      <c r="N3966" s="433"/>
    </row>
    <row r="3967" ht="12.75">
      <c r="N3967" s="433"/>
    </row>
    <row r="3968" ht="12.75">
      <c r="N3968" s="433"/>
    </row>
    <row r="3969" ht="12.75">
      <c r="N3969" s="433"/>
    </row>
    <row r="3970" ht="12.75">
      <c r="N3970" s="433"/>
    </row>
    <row r="3971" ht="12.75">
      <c r="N3971" s="433"/>
    </row>
    <row r="3972" ht="12.75">
      <c r="N3972" s="433"/>
    </row>
    <row r="3973" ht="12.75">
      <c r="N3973" s="433"/>
    </row>
    <row r="3974" ht="12.75">
      <c r="N3974" s="433"/>
    </row>
    <row r="3975" ht="12.75">
      <c r="N3975" s="433"/>
    </row>
    <row r="3976" ht="12.75">
      <c r="N3976" s="433"/>
    </row>
    <row r="3977" ht="12.75">
      <c r="N3977" s="433"/>
    </row>
    <row r="3978" ht="12.75">
      <c r="N3978" s="433"/>
    </row>
    <row r="3979" ht="12.75">
      <c r="N3979" s="433"/>
    </row>
    <row r="3980" ht="12.75">
      <c r="N3980" s="433"/>
    </row>
    <row r="3981" ht="12.75">
      <c r="N3981" s="433"/>
    </row>
    <row r="3982" ht="12.75">
      <c r="N3982" s="433"/>
    </row>
    <row r="3983" ht="12.75">
      <c r="N3983" s="433"/>
    </row>
    <row r="3984" ht="12.75">
      <c r="N3984" s="433"/>
    </row>
    <row r="3985" ht="12.75">
      <c r="N3985" s="433"/>
    </row>
    <row r="3986" ht="12.75">
      <c r="N3986" s="433"/>
    </row>
    <row r="3987" ht="12.75">
      <c r="N3987" s="433"/>
    </row>
    <row r="3988" ht="12.75">
      <c r="N3988" s="433"/>
    </row>
    <row r="3989" ht="12.75">
      <c r="N3989" s="433"/>
    </row>
    <row r="3990" ht="12.75">
      <c r="N3990" s="433"/>
    </row>
    <row r="3991" ht="12.75">
      <c r="N3991" s="433"/>
    </row>
    <row r="3992" ht="12.75">
      <c r="N3992" s="433"/>
    </row>
    <row r="3993" ht="12.75">
      <c r="N3993" s="433"/>
    </row>
    <row r="3994" ht="12.75">
      <c r="N3994" s="433"/>
    </row>
    <row r="3995" ht="12.75">
      <c r="N3995" s="433"/>
    </row>
    <row r="3996" ht="12.75">
      <c r="N3996" s="433"/>
    </row>
    <row r="3997" ht="12.75">
      <c r="N3997" s="433"/>
    </row>
    <row r="3998" ht="12.75">
      <c r="N3998" s="433"/>
    </row>
    <row r="3999" ht="12.75">
      <c r="N3999" s="433"/>
    </row>
    <row r="4000" ht="12.75">
      <c r="N4000" s="433"/>
    </row>
    <row r="4001" ht="12.75">
      <c r="N4001" s="433"/>
    </row>
    <row r="4002" ht="12.75">
      <c r="N4002" s="433"/>
    </row>
    <row r="4003" ht="12.75">
      <c r="N4003" s="433"/>
    </row>
    <row r="4004" ht="12.75">
      <c r="N4004" s="433"/>
    </row>
    <row r="4005" ht="12.75">
      <c r="N4005" s="433"/>
    </row>
    <row r="4006" ht="12.75">
      <c r="N4006" s="433"/>
    </row>
    <row r="4007" ht="12.75">
      <c r="N4007" s="433"/>
    </row>
    <row r="4008" ht="12.75">
      <c r="N4008" s="433"/>
    </row>
    <row r="4009" ht="12.75">
      <c r="N4009" s="433"/>
    </row>
    <row r="4010" ht="12.75">
      <c r="N4010" s="433"/>
    </row>
    <row r="4011" ht="12.75">
      <c r="N4011" s="433"/>
    </row>
    <row r="4012" ht="12.75">
      <c r="N4012" s="433"/>
    </row>
    <row r="4013" ht="12.75">
      <c r="N4013" s="433"/>
    </row>
    <row r="4014" ht="12.75">
      <c r="N4014" s="433"/>
    </row>
    <row r="4015" ht="12.75">
      <c r="N4015" s="433"/>
    </row>
    <row r="4016" ht="12.75">
      <c r="N4016" s="433"/>
    </row>
    <row r="4017" ht="12.75">
      <c r="N4017" s="433"/>
    </row>
    <row r="4018" ht="12.75">
      <c r="N4018" s="433"/>
    </row>
    <row r="4019" ht="12.75">
      <c r="N4019" s="433"/>
    </row>
    <row r="4020" ht="12.75">
      <c r="N4020" s="433"/>
    </row>
    <row r="4021" ht="12.75">
      <c r="N4021" s="433"/>
    </row>
    <row r="4022" ht="12.75">
      <c r="N4022" s="433"/>
    </row>
    <row r="4023" ht="12.75">
      <c r="N4023" s="433"/>
    </row>
    <row r="4024" ht="12.75">
      <c r="N4024" s="433"/>
    </row>
    <row r="4025" ht="12.75">
      <c r="N4025" s="433"/>
    </row>
    <row r="4026" ht="12.75">
      <c r="N4026" s="433"/>
    </row>
    <row r="4027" ht="12.75">
      <c r="N4027" s="433"/>
    </row>
    <row r="4028" ht="12.75">
      <c r="N4028" s="433"/>
    </row>
    <row r="4029" ht="12.75">
      <c r="N4029" s="433"/>
    </row>
    <row r="4030" ht="12.75">
      <c r="N4030" s="433"/>
    </row>
    <row r="4031" ht="12.75">
      <c r="N4031" s="433"/>
    </row>
    <row r="4032" ht="12.75">
      <c r="N4032" s="433"/>
    </row>
    <row r="4033" ht="12.75">
      <c r="N4033" s="433"/>
    </row>
  </sheetData>
  <mergeCells count="23">
    <mergeCell ref="AB3:AB4"/>
    <mergeCell ref="E105:E106"/>
    <mergeCell ref="AC3:AC4"/>
    <mergeCell ref="X3:X4"/>
    <mergeCell ref="Y3:Y4"/>
    <mergeCell ref="Z3:Z4"/>
    <mergeCell ref="AA3:AA4"/>
    <mergeCell ref="T3:T4"/>
    <mergeCell ref="U3:U4"/>
    <mergeCell ref="V3:V4"/>
    <mergeCell ref="W3:W4"/>
    <mergeCell ref="P3:P4"/>
    <mergeCell ref="Q3:Q4"/>
    <mergeCell ref="R3:R4"/>
    <mergeCell ref="S3:S4"/>
    <mergeCell ref="E3:E4"/>
    <mergeCell ref="F3:F4"/>
    <mergeCell ref="N3:N4"/>
    <mergeCell ref="O3:O4"/>
    <mergeCell ref="A3:A4"/>
    <mergeCell ref="B3:B4"/>
    <mergeCell ref="C3:C4"/>
    <mergeCell ref="D3:D4"/>
  </mergeCells>
  <printOptions horizontalCentered="1"/>
  <pageMargins left="0.17" right="0.17" top="0.15748031496062992" bottom="0.15748031496062992" header="0.15748031496062992" footer="0.1574803149606299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C67"/>
  <sheetViews>
    <sheetView zoomScale="150" zoomScaleNormal="150" workbookViewId="0" topLeftCell="E32">
      <selection activeCell="E1" sqref="A1:AC36"/>
    </sheetView>
  </sheetViews>
  <sheetFormatPr defaultColWidth="9.140625" defaultRowHeight="12.75"/>
  <cols>
    <col min="1" max="1" width="4.7109375" style="111" customWidth="1"/>
    <col min="2" max="2" width="6.00390625" style="111" customWidth="1"/>
    <col min="3" max="3" width="5.00390625" style="111" customWidth="1"/>
    <col min="4" max="4" width="31.7109375" style="111" customWidth="1"/>
    <col min="5" max="5" width="13.7109375" style="434" customWidth="1"/>
    <col min="6" max="9" width="10.8515625" style="455" hidden="1" customWidth="1"/>
    <col min="10" max="21" width="15.57421875" style="111" hidden="1" customWidth="1"/>
    <col min="22" max="22" width="13.7109375" style="434" customWidth="1"/>
    <col min="23" max="23" width="8.28125" style="434" customWidth="1"/>
    <col min="24" max="24" width="7.8515625" style="111" customWidth="1"/>
    <col min="25" max="25" width="6.140625" style="111" customWidth="1"/>
    <col min="26" max="26" width="23.421875" style="111" customWidth="1"/>
    <col min="27" max="27" width="14.28125" style="111" customWidth="1"/>
    <col min="28" max="28" width="12.57421875" style="111" customWidth="1"/>
    <col min="29" max="29" width="10.7109375" style="111" customWidth="1"/>
    <col min="30" max="16384" width="9.140625" style="111" customWidth="1"/>
  </cols>
  <sheetData>
    <row r="1" spans="5:29" ht="12.75" customHeight="1">
      <c r="E1" s="142"/>
      <c r="F1" s="453"/>
      <c r="G1" s="453"/>
      <c r="H1" s="453"/>
      <c r="I1" s="453"/>
      <c r="J1" s="118"/>
      <c r="V1" s="142"/>
      <c r="Z1" s="745"/>
      <c r="AA1" s="745"/>
      <c r="AB1" s="802" t="s">
        <v>807</v>
      </c>
      <c r="AC1" s="802"/>
    </row>
    <row r="2" spans="6:27" ht="12.75">
      <c r="F2" s="454"/>
      <c r="G2" s="454"/>
      <c r="H2" s="454"/>
      <c r="I2" s="454"/>
      <c r="J2" s="25"/>
      <c r="Z2" s="745"/>
      <c r="AA2" s="745"/>
    </row>
    <row r="3" spans="1:29" ht="15.75">
      <c r="A3" s="801" t="s">
        <v>806</v>
      </c>
      <c r="B3" s="801"/>
      <c r="C3" s="801"/>
      <c r="D3" s="801"/>
      <c r="E3" s="801"/>
      <c r="F3" s="801"/>
      <c r="G3" s="801"/>
      <c r="H3" s="801"/>
      <c r="I3" s="801"/>
      <c r="J3" s="801"/>
      <c r="K3" s="801"/>
      <c r="L3" s="801"/>
      <c r="M3" s="801"/>
      <c r="N3" s="801"/>
      <c r="O3" s="801"/>
      <c r="P3" s="801"/>
      <c r="Q3" s="801"/>
      <c r="R3" s="801"/>
      <c r="S3" s="801"/>
      <c r="T3" s="801"/>
      <c r="U3" s="801"/>
      <c r="V3" s="801"/>
      <c r="W3" s="801"/>
      <c r="X3" s="801"/>
      <c r="Y3" s="801"/>
      <c r="Z3" s="801"/>
      <c r="AA3" s="801"/>
      <c r="AB3" s="801"/>
      <c r="AC3" s="801"/>
    </row>
    <row r="4" spans="1:27" ht="15.75">
      <c r="A4" s="801"/>
      <c r="B4" s="801"/>
      <c r="C4" s="801"/>
      <c r="D4" s="801"/>
      <c r="E4" s="801"/>
      <c r="F4" s="801"/>
      <c r="G4" s="801"/>
      <c r="H4" s="801"/>
      <c r="I4" s="801"/>
      <c r="J4" s="801"/>
      <c r="K4" s="801"/>
      <c r="L4" s="801"/>
      <c r="M4" s="801"/>
      <c r="N4" s="801"/>
      <c r="O4" s="801"/>
      <c r="P4" s="801"/>
      <c r="Q4" s="801"/>
      <c r="R4" s="801"/>
      <c r="S4" s="801"/>
      <c r="T4" s="801"/>
      <c r="U4" s="801"/>
      <c r="V4" s="801"/>
      <c r="W4" s="801"/>
      <c r="X4" s="801"/>
      <c r="Y4" s="801"/>
      <c r="Z4" s="801"/>
      <c r="AA4" s="801"/>
    </row>
    <row r="5" spans="1:24" ht="13.5" thickBot="1">
      <c r="A5" s="432"/>
      <c r="B5" s="110"/>
      <c r="C5" s="110"/>
      <c r="X5" s="456"/>
    </row>
    <row r="6" spans="1:29" s="118" customFormat="1" ht="26.25" thickBot="1">
      <c r="A6" s="139" t="s">
        <v>135</v>
      </c>
      <c r="B6" s="139" t="s">
        <v>136</v>
      </c>
      <c r="C6" s="139" t="s">
        <v>137</v>
      </c>
      <c r="D6" s="139" t="s">
        <v>138</v>
      </c>
      <c r="E6" s="139" t="s">
        <v>108</v>
      </c>
      <c r="F6" s="490" t="s">
        <v>139</v>
      </c>
      <c r="G6" s="491"/>
      <c r="H6" s="492"/>
      <c r="I6" s="492"/>
      <c r="J6" s="139" t="s">
        <v>141</v>
      </c>
      <c r="K6" s="493" t="s">
        <v>142</v>
      </c>
      <c r="L6" s="493" t="s">
        <v>143</v>
      </c>
      <c r="M6" s="493" t="s">
        <v>144</v>
      </c>
      <c r="N6" s="493" t="s">
        <v>145</v>
      </c>
      <c r="O6" s="493" t="s">
        <v>146</v>
      </c>
      <c r="P6" s="493" t="s">
        <v>147</v>
      </c>
      <c r="Q6" s="493" t="s">
        <v>148</v>
      </c>
      <c r="R6" s="493" t="s">
        <v>149</v>
      </c>
      <c r="S6" s="493" t="s">
        <v>150</v>
      </c>
      <c r="T6" s="493" t="s">
        <v>151</v>
      </c>
      <c r="U6" s="493" t="s">
        <v>152</v>
      </c>
      <c r="V6" s="493" t="s">
        <v>107</v>
      </c>
      <c r="W6" s="493" t="s">
        <v>153</v>
      </c>
      <c r="X6" s="139" t="s">
        <v>136</v>
      </c>
      <c r="Y6" s="139" t="s">
        <v>137</v>
      </c>
      <c r="Z6" s="139" t="s">
        <v>138</v>
      </c>
      <c r="AA6" s="494" t="s">
        <v>109</v>
      </c>
      <c r="AB6" s="493" t="s">
        <v>107</v>
      </c>
      <c r="AC6" s="493" t="s">
        <v>153</v>
      </c>
    </row>
    <row r="7" spans="1:29" s="433" customFormat="1" ht="12.75">
      <c r="A7" s="457"/>
      <c r="B7" s="457"/>
      <c r="C7" s="457"/>
      <c r="D7" s="457"/>
      <c r="E7" s="458"/>
      <c r="F7" s="459"/>
      <c r="G7" s="459"/>
      <c r="H7" s="459"/>
      <c r="I7" s="459"/>
      <c r="J7" s="457"/>
      <c r="K7" s="457"/>
      <c r="L7" s="457"/>
      <c r="M7" s="457"/>
      <c r="N7" s="457"/>
      <c r="O7" s="457"/>
      <c r="P7" s="457"/>
      <c r="Q7" s="457"/>
      <c r="R7" s="457"/>
      <c r="S7" s="457"/>
      <c r="T7" s="457"/>
      <c r="U7" s="457"/>
      <c r="V7" s="458"/>
      <c r="W7" s="458"/>
      <c r="X7" s="457"/>
      <c r="Y7" s="458"/>
      <c r="Z7" s="458"/>
      <c r="AA7" s="458"/>
      <c r="AB7" s="458"/>
      <c r="AC7" s="457"/>
    </row>
    <row r="8" spans="1:29" s="433" customFormat="1" ht="12.75">
      <c r="A8" s="435" t="s">
        <v>155</v>
      </c>
      <c r="B8" s="436"/>
      <c r="C8" s="436"/>
      <c r="D8" s="437" t="s">
        <v>156</v>
      </c>
      <c r="E8" s="460">
        <f>E9</f>
        <v>248216</v>
      </c>
      <c r="F8" s="461"/>
      <c r="G8" s="461"/>
      <c r="H8" s="461"/>
      <c r="I8" s="461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460">
        <f>V9</f>
        <v>247935.48</v>
      </c>
      <c r="W8" s="495">
        <f>V8*100/E8</f>
        <v>99.88698552873304</v>
      </c>
      <c r="X8" s="229"/>
      <c r="Y8" s="462"/>
      <c r="Z8" s="462"/>
      <c r="AA8" s="228">
        <f>AA9</f>
        <v>248216</v>
      </c>
      <c r="AB8" s="228">
        <f>AB9</f>
        <v>247935.48</v>
      </c>
      <c r="AC8" s="495">
        <f>AB8*100/AA8</f>
        <v>99.88698552873304</v>
      </c>
    </row>
    <row r="9" spans="1:29" s="433" customFormat="1" ht="12.75">
      <c r="A9" s="463"/>
      <c r="B9" s="117" t="s">
        <v>161</v>
      </c>
      <c r="C9" s="439"/>
      <c r="D9" s="440" t="s">
        <v>162</v>
      </c>
      <c r="E9" s="464">
        <f>E10</f>
        <v>248216</v>
      </c>
      <c r="F9" s="465"/>
      <c r="G9" s="465"/>
      <c r="H9" s="465"/>
      <c r="I9" s="465"/>
      <c r="J9" s="438"/>
      <c r="K9" s="438"/>
      <c r="L9" s="438"/>
      <c r="M9" s="438"/>
      <c r="N9" s="438"/>
      <c r="O9" s="438"/>
      <c r="P9" s="438"/>
      <c r="Q9" s="438"/>
      <c r="R9" s="438"/>
      <c r="S9" s="438"/>
      <c r="T9" s="438"/>
      <c r="U9" s="438"/>
      <c r="V9" s="464">
        <f>V10</f>
        <v>247935.48</v>
      </c>
      <c r="W9" s="466">
        <f>V9*100/E9</f>
        <v>99.88698552873304</v>
      </c>
      <c r="X9" s="117" t="s">
        <v>161</v>
      </c>
      <c r="Y9" s="439"/>
      <c r="Z9" s="440" t="s">
        <v>162</v>
      </c>
      <c r="AA9" s="464">
        <f>SUM(AA10:AA12)</f>
        <v>248216</v>
      </c>
      <c r="AB9" s="464">
        <f>SUM(AB10:AB12)</f>
        <v>247935.48</v>
      </c>
      <c r="AC9" s="464">
        <f>AB9*100/AA9</f>
        <v>99.88698552873304</v>
      </c>
    </row>
    <row r="10" spans="1:29" s="433" customFormat="1" ht="26.25" customHeight="1">
      <c r="A10" s="463"/>
      <c r="B10" s="463"/>
      <c r="C10" s="807">
        <v>2010</v>
      </c>
      <c r="D10" s="810" t="s">
        <v>165</v>
      </c>
      <c r="E10" s="813">
        <v>248216</v>
      </c>
      <c r="F10" s="465"/>
      <c r="G10" s="465"/>
      <c r="H10" s="465"/>
      <c r="I10" s="465"/>
      <c r="J10" s="438"/>
      <c r="K10" s="438"/>
      <c r="L10" s="438"/>
      <c r="M10" s="438"/>
      <c r="N10" s="438"/>
      <c r="O10" s="438"/>
      <c r="P10" s="438"/>
      <c r="Q10" s="438"/>
      <c r="R10" s="438"/>
      <c r="S10" s="438"/>
      <c r="T10" s="438"/>
      <c r="U10" s="438"/>
      <c r="V10" s="813">
        <v>247935.48</v>
      </c>
      <c r="W10" s="813">
        <f>V10*100/E10</f>
        <v>99.88698552873304</v>
      </c>
      <c r="X10" s="438"/>
      <c r="Y10" s="41">
        <v>4210</v>
      </c>
      <c r="Z10" s="42" t="s">
        <v>998</v>
      </c>
      <c r="AA10" s="43">
        <v>1867</v>
      </c>
      <c r="AB10" s="43">
        <v>1861.48</v>
      </c>
      <c r="AC10" s="497">
        <f>AB10*100/AA10</f>
        <v>99.70433851098018</v>
      </c>
    </row>
    <row r="11" spans="1:29" s="433" customFormat="1" ht="17.25" customHeight="1">
      <c r="A11" s="463"/>
      <c r="B11" s="463"/>
      <c r="C11" s="808"/>
      <c r="D11" s="811"/>
      <c r="E11" s="779"/>
      <c r="F11" s="465"/>
      <c r="G11" s="465"/>
      <c r="H11" s="465"/>
      <c r="I11" s="465"/>
      <c r="J11" s="438"/>
      <c r="K11" s="438"/>
      <c r="L11" s="438"/>
      <c r="M11" s="438"/>
      <c r="N11" s="438"/>
      <c r="O11" s="438"/>
      <c r="P11" s="438"/>
      <c r="Q11" s="438"/>
      <c r="R11" s="438"/>
      <c r="S11" s="438"/>
      <c r="T11" s="438"/>
      <c r="U11" s="438"/>
      <c r="V11" s="779"/>
      <c r="W11" s="779"/>
      <c r="X11" s="438"/>
      <c r="Y11" s="41">
        <v>4300</v>
      </c>
      <c r="Z11" s="42" t="s">
        <v>1000</v>
      </c>
      <c r="AA11" s="43">
        <v>3000</v>
      </c>
      <c r="AB11" s="43">
        <v>3000</v>
      </c>
      <c r="AC11" s="497">
        <f aca="true" t="shared" si="0" ref="AC11:AC36">AB11*100/AA11</f>
        <v>100</v>
      </c>
    </row>
    <row r="12" spans="1:29" s="433" customFormat="1" ht="12.75">
      <c r="A12" s="463"/>
      <c r="B12" s="463"/>
      <c r="C12" s="809"/>
      <c r="D12" s="812"/>
      <c r="E12" s="780"/>
      <c r="F12" s="465"/>
      <c r="G12" s="465"/>
      <c r="H12" s="465"/>
      <c r="I12" s="465"/>
      <c r="J12" s="438"/>
      <c r="K12" s="438"/>
      <c r="L12" s="438"/>
      <c r="M12" s="438"/>
      <c r="N12" s="438"/>
      <c r="O12" s="438"/>
      <c r="P12" s="438"/>
      <c r="Q12" s="438"/>
      <c r="R12" s="438"/>
      <c r="S12" s="438"/>
      <c r="T12" s="438"/>
      <c r="U12" s="438"/>
      <c r="V12" s="780"/>
      <c r="W12" s="780"/>
      <c r="X12" s="438"/>
      <c r="Y12" s="49">
        <v>4430</v>
      </c>
      <c r="Z12" s="50" t="s">
        <v>1007</v>
      </c>
      <c r="AA12" s="43">
        <v>243349</v>
      </c>
      <c r="AB12" s="43">
        <v>243074</v>
      </c>
      <c r="AC12" s="497">
        <f t="shared" si="0"/>
        <v>99.88699357712585</v>
      </c>
    </row>
    <row r="13" spans="1:29" s="118" customFormat="1" ht="12.75">
      <c r="A13" s="444">
        <v>750</v>
      </c>
      <c r="B13" s="444"/>
      <c r="C13" s="444"/>
      <c r="D13" s="445" t="s">
        <v>187</v>
      </c>
      <c r="E13" s="441">
        <f>E14</f>
        <v>57000</v>
      </c>
      <c r="F13" s="441">
        <f>F14</f>
        <v>0</v>
      </c>
      <c r="G13" s="441">
        <f>G14</f>
        <v>0</v>
      </c>
      <c r="H13" s="441">
        <f>H14</f>
        <v>0</v>
      </c>
      <c r="I13" s="468" t="e">
        <f>I14+#REF!+#REF!</f>
        <v>#REF!</v>
      </c>
      <c r="J13" s="441">
        <f aca="true" t="shared" si="1" ref="J13:U13">J14</f>
        <v>2983</v>
      </c>
      <c r="K13" s="441">
        <f t="shared" si="1"/>
        <v>3596</v>
      </c>
      <c r="L13" s="441">
        <f t="shared" si="1"/>
        <v>2893</v>
      </c>
      <c r="M13" s="441">
        <f t="shared" si="1"/>
        <v>0</v>
      </c>
      <c r="N13" s="441">
        <f t="shared" si="1"/>
        <v>3200</v>
      </c>
      <c r="O13" s="441">
        <f t="shared" si="1"/>
        <v>0</v>
      </c>
      <c r="P13" s="441">
        <f t="shared" si="1"/>
        <v>0</v>
      </c>
      <c r="Q13" s="441">
        <f t="shared" si="1"/>
        <v>0</v>
      </c>
      <c r="R13" s="441">
        <f t="shared" si="1"/>
        <v>0</v>
      </c>
      <c r="S13" s="441">
        <f t="shared" si="1"/>
        <v>0</v>
      </c>
      <c r="T13" s="441">
        <f t="shared" si="1"/>
        <v>0</v>
      </c>
      <c r="U13" s="441">
        <f t="shared" si="1"/>
        <v>0</v>
      </c>
      <c r="V13" s="441">
        <f>V14</f>
        <v>30663</v>
      </c>
      <c r="W13" s="495">
        <f>V13*100/E13</f>
        <v>53.794736842105266</v>
      </c>
      <c r="X13" s="469"/>
      <c r="Y13" s="470"/>
      <c r="Z13" s="470"/>
      <c r="AA13" s="469">
        <f>AA14</f>
        <v>57000</v>
      </c>
      <c r="AB13" s="469">
        <f>AB14</f>
        <v>30663</v>
      </c>
      <c r="AC13" s="498">
        <f t="shared" si="0"/>
        <v>53.794736842105266</v>
      </c>
    </row>
    <row r="14" spans="1:29" s="118" customFormat="1" ht="12.75">
      <c r="A14" s="803">
        <v>75011</v>
      </c>
      <c r="B14" s="804"/>
      <c r="C14" s="439"/>
      <c r="D14" s="440" t="s">
        <v>188</v>
      </c>
      <c r="E14" s="402">
        <f>SUM(E15:E15)</f>
        <v>57000</v>
      </c>
      <c r="F14" s="442">
        <f aca="true" t="shared" si="2" ref="F14:U14">SUM(F15:F15)</f>
        <v>0</v>
      </c>
      <c r="G14" s="471">
        <f t="shared" si="2"/>
        <v>0</v>
      </c>
      <c r="H14" s="471">
        <f t="shared" si="2"/>
        <v>0</v>
      </c>
      <c r="I14" s="471">
        <f t="shared" si="2"/>
        <v>0</v>
      </c>
      <c r="J14" s="402">
        <f t="shared" si="2"/>
        <v>2983</v>
      </c>
      <c r="K14" s="402">
        <f t="shared" si="2"/>
        <v>3596</v>
      </c>
      <c r="L14" s="402">
        <f t="shared" si="2"/>
        <v>2893</v>
      </c>
      <c r="M14" s="402">
        <f t="shared" si="2"/>
        <v>0</v>
      </c>
      <c r="N14" s="402">
        <f t="shared" si="2"/>
        <v>3200</v>
      </c>
      <c r="O14" s="402">
        <f t="shared" si="2"/>
        <v>0</v>
      </c>
      <c r="P14" s="402">
        <f t="shared" si="2"/>
        <v>0</v>
      </c>
      <c r="Q14" s="402">
        <f t="shared" si="2"/>
        <v>0</v>
      </c>
      <c r="R14" s="402">
        <f t="shared" si="2"/>
        <v>0</v>
      </c>
      <c r="S14" s="402">
        <f t="shared" si="2"/>
        <v>0</v>
      </c>
      <c r="T14" s="402">
        <f t="shared" si="2"/>
        <v>0</v>
      </c>
      <c r="U14" s="402">
        <f t="shared" si="2"/>
        <v>0</v>
      </c>
      <c r="V14" s="402">
        <f>SUM(V15:V15)</f>
        <v>30663</v>
      </c>
      <c r="W14" s="464">
        <f>V14*100/E14</f>
        <v>53.794736842105266</v>
      </c>
      <c r="X14" s="439">
        <v>75011</v>
      </c>
      <c r="Y14" s="439"/>
      <c r="Z14" s="440" t="s">
        <v>188</v>
      </c>
      <c r="AA14" s="402">
        <f>AA15+AA16</f>
        <v>57000</v>
      </c>
      <c r="AB14" s="402">
        <f>AB15+AB16</f>
        <v>30663</v>
      </c>
      <c r="AC14" s="464">
        <f t="shared" si="0"/>
        <v>53.794736842105266</v>
      </c>
    </row>
    <row r="15" spans="1:29" s="118" customFormat="1" ht="25.5">
      <c r="A15" s="767"/>
      <c r="B15" s="768"/>
      <c r="C15" s="807">
        <v>2010</v>
      </c>
      <c r="D15" s="810" t="s">
        <v>165</v>
      </c>
      <c r="E15" s="778">
        <v>57000</v>
      </c>
      <c r="F15" s="473"/>
      <c r="G15" s="474"/>
      <c r="H15" s="474"/>
      <c r="I15" s="474"/>
      <c r="J15" s="116">
        <v>2983</v>
      </c>
      <c r="K15" s="116">
        <v>3596</v>
      </c>
      <c r="L15" s="116">
        <v>2893</v>
      </c>
      <c r="M15" s="116"/>
      <c r="N15" s="116">
        <v>3200</v>
      </c>
      <c r="O15" s="116"/>
      <c r="P15" s="116"/>
      <c r="Q15" s="116"/>
      <c r="R15" s="116"/>
      <c r="S15" s="116"/>
      <c r="T15" s="116"/>
      <c r="U15" s="116"/>
      <c r="V15" s="778">
        <v>30663</v>
      </c>
      <c r="W15" s="778">
        <f>V15*100/E15</f>
        <v>53.794736842105266</v>
      </c>
      <c r="X15" s="805"/>
      <c r="Y15" s="41">
        <v>4010</v>
      </c>
      <c r="Z15" s="42" t="s">
        <v>631</v>
      </c>
      <c r="AA15" s="120">
        <v>48676</v>
      </c>
      <c r="AB15" s="120">
        <v>26430</v>
      </c>
      <c r="AC15" s="497">
        <f t="shared" si="0"/>
        <v>54.29780590023831</v>
      </c>
    </row>
    <row r="16" spans="1:29" s="118" customFormat="1" ht="25.5">
      <c r="A16" s="769"/>
      <c r="B16" s="770"/>
      <c r="C16" s="809"/>
      <c r="D16" s="812"/>
      <c r="E16" s="766"/>
      <c r="F16" s="473"/>
      <c r="G16" s="474"/>
      <c r="H16" s="474"/>
      <c r="I16" s="474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766"/>
      <c r="W16" s="766"/>
      <c r="X16" s="806"/>
      <c r="Y16" s="41">
        <v>4110</v>
      </c>
      <c r="Z16" s="42" t="s">
        <v>632</v>
      </c>
      <c r="AA16" s="120">
        <v>8324</v>
      </c>
      <c r="AB16" s="120">
        <v>4233</v>
      </c>
      <c r="AC16" s="497">
        <f t="shared" si="0"/>
        <v>50.85295530994714</v>
      </c>
    </row>
    <row r="17" spans="1:29" s="118" customFormat="1" ht="38.25">
      <c r="A17" s="444">
        <v>751</v>
      </c>
      <c r="B17" s="447"/>
      <c r="C17" s="447"/>
      <c r="D17" s="445" t="s">
        <v>359</v>
      </c>
      <c r="E17" s="476">
        <f>E18</f>
        <v>1104</v>
      </c>
      <c r="F17" s="473"/>
      <c r="G17" s="474"/>
      <c r="H17" s="474"/>
      <c r="I17" s="474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476">
        <f>V18</f>
        <v>561</v>
      </c>
      <c r="W17" s="495">
        <f>V17*100/E17</f>
        <v>50.81521739130435</v>
      </c>
      <c r="X17" s="477"/>
      <c r="Y17" s="71"/>
      <c r="Z17" s="478"/>
      <c r="AA17" s="479">
        <f>AA18</f>
        <v>1104</v>
      </c>
      <c r="AB17" s="479">
        <f>AB18</f>
        <v>0</v>
      </c>
      <c r="AC17" s="498">
        <f t="shared" si="0"/>
        <v>0</v>
      </c>
    </row>
    <row r="18" spans="1:29" s="118" customFormat="1" ht="38.25">
      <c r="A18" s="781">
        <v>75101</v>
      </c>
      <c r="B18" s="782"/>
      <c r="C18" s="121"/>
      <c r="D18" s="122" t="s">
        <v>360</v>
      </c>
      <c r="E18" s="505">
        <f>E19</f>
        <v>1104</v>
      </c>
      <c r="F18" s="506"/>
      <c r="G18" s="507"/>
      <c r="H18" s="507"/>
      <c r="I18" s="507"/>
      <c r="J18" s="499"/>
      <c r="K18" s="499"/>
      <c r="L18" s="499"/>
      <c r="M18" s="499"/>
      <c r="N18" s="499"/>
      <c r="O18" s="499"/>
      <c r="P18" s="499"/>
      <c r="Q18" s="499"/>
      <c r="R18" s="499"/>
      <c r="S18" s="499"/>
      <c r="T18" s="499"/>
      <c r="U18" s="499"/>
      <c r="V18" s="505">
        <f>V19</f>
        <v>561</v>
      </c>
      <c r="W18" s="464">
        <f>V18*100/E18</f>
        <v>50.81521739130435</v>
      </c>
      <c r="X18" s="121">
        <v>75101</v>
      </c>
      <c r="Y18" s="41"/>
      <c r="Z18" s="122" t="s">
        <v>360</v>
      </c>
      <c r="AA18" s="509">
        <f>AA19</f>
        <v>1104</v>
      </c>
      <c r="AB18" s="509">
        <f>AB19</f>
        <v>0</v>
      </c>
      <c r="AC18" s="464">
        <f t="shared" si="0"/>
        <v>0</v>
      </c>
    </row>
    <row r="19" spans="1:29" s="118" customFormat="1" ht="59.25" customHeight="1">
      <c r="A19" s="776"/>
      <c r="B19" s="777"/>
      <c r="C19" s="49">
        <v>2010</v>
      </c>
      <c r="D19" s="50" t="s">
        <v>165</v>
      </c>
      <c r="E19" s="421">
        <f>1160-56</f>
        <v>1104</v>
      </c>
      <c r="F19" s="473"/>
      <c r="G19" s="474"/>
      <c r="H19" s="474"/>
      <c r="I19" s="474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421">
        <v>561</v>
      </c>
      <c r="W19" s="778">
        <f>V19*100/E19</f>
        <v>50.81521739130435</v>
      </c>
      <c r="X19" s="116"/>
      <c r="Y19" s="41">
        <v>4300</v>
      </c>
      <c r="Z19" s="42" t="s">
        <v>1000</v>
      </c>
      <c r="AA19" s="421">
        <f>1160-56</f>
        <v>1104</v>
      </c>
      <c r="AB19" s="421"/>
      <c r="AC19" s="497">
        <f t="shared" si="0"/>
        <v>0</v>
      </c>
    </row>
    <row r="20" spans="1:29" s="118" customFormat="1" ht="25.5" hidden="1">
      <c r="A20" s="444">
        <v>754</v>
      </c>
      <c r="B20" s="444"/>
      <c r="C20" s="444"/>
      <c r="D20" s="445" t="s">
        <v>363</v>
      </c>
      <c r="E20" s="441">
        <f aca="true" t="shared" si="3" ref="E20:V20">E21</f>
        <v>0</v>
      </c>
      <c r="F20" s="468">
        <f t="shared" si="3"/>
        <v>0</v>
      </c>
      <c r="G20" s="468">
        <f t="shared" si="3"/>
        <v>0</v>
      </c>
      <c r="H20" s="468">
        <f t="shared" si="3"/>
        <v>0</v>
      </c>
      <c r="I20" s="468">
        <f t="shared" si="3"/>
        <v>0</v>
      </c>
      <c r="J20" s="441">
        <f t="shared" si="3"/>
        <v>0</v>
      </c>
      <c r="K20" s="441">
        <f t="shared" si="3"/>
        <v>0</v>
      </c>
      <c r="L20" s="441">
        <f t="shared" si="3"/>
        <v>0</v>
      </c>
      <c r="M20" s="441">
        <f t="shared" si="3"/>
        <v>200</v>
      </c>
      <c r="N20" s="441">
        <f t="shared" si="3"/>
        <v>0</v>
      </c>
      <c r="O20" s="441">
        <f t="shared" si="3"/>
        <v>0</v>
      </c>
      <c r="P20" s="441">
        <f t="shared" si="3"/>
        <v>0</v>
      </c>
      <c r="Q20" s="441">
        <f t="shared" si="3"/>
        <v>0</v>
      </c>
      <c r="R20" s="441">
        <f t="shared" si="3"/>
        <v>0</v>
      </c>
      <c r="S20" s="441">
        <f t="shared" si="3"/>
        <v>0</v>
      </c>
      <c r="T20" s="441">
        <f t="shared" si="3"/>
        <v>0</v>
      </c>
      <c r="U20" s="441">
        <f t="shared" si="3"/>
        <v>0</v>
      </c>
      <c r="V20" s="441">
        <f t="shared" si="3"/>
        <v>0</v>
      </c>
      <c r="W20" s="766"/>
      <c r="X20" s="469"/>
      <c r="Y20" s="470"/>
      <c r="Z20" s="470"/>
      <c r="AA20" s="469">
        <f>AA21</f>
        <v>0</v>
      </c>
      <c r="AB20" s="469">
        <f>AB21</f>
        <v>0</v>
      </c>
      <c r="AC20" s="466" t="e">
        <f t="shared" si="0"/>
        <v>#DIV/0!</v>
      </c>
    </row>
    <row r="21" spans="1:29" s="118" customFormat="1" ht="12.75" hidden="1">
      <c r="A21" s="803">
        <v>75414</v>
      </c>
      <c r="B21" s="804"/>
      <c r="C21" s="439"/>
      <c r="D21" s="440" t="s">
        <v>364</v>
      </c>
      <c r="E21" s="450">
        <f aca="true" t="shared" si="4" ref="E21:V21">SUM(E22)</f>
        <v>0</v>
      </c>
      <c r="F21" s="471">
        <f t="shared" si="4"/>
        <v>0</v>
      </c>
      <c r="G21" s="471">
        <f t="shared" si="4"/>
        <v>0</v>
      </c>
      <c r="H21" s="471">
        <f t="shared" si="4"/>
        <v>0</v>
      </c>
      <c r="I21" s="471">
        <f t="shared" si="4"/>
        <v>0</v>
      </c>
      <c r="J21" s="402">
        <f t="shared" si="4"/>
        <v>0</v>
      </c>
      <c r="K21" s="402">
        <f t="shared" si="4"/>
        <v>0</v>
      </c>
      <c r="L21" s="402">
        <f t="shared" si="4"/>
        <v>0</v>
      </c>
      <c r="M21" s="402">
        <f t="shared" si="4"/>
        <v>200</v>
      </c>
      <c r="N21" s="402">
        <f t="shared" si="4"/>
        <v>0</v>
      </c>
      <c r="O21" s="402">
        <f t="shared" si="4"/>
        <v>0</v>
      </c>
      <c r="P21" s="402">
        <f t="shared" si="4"/>
        <v>0</v>
      </c>
      <c r="Q21" s="402">
        <f t="shared" si="4"/>
        <v>0</v>
      </c>
      <c r="R21" s="402">
        <f t="shared" si="4"/>
        <v>0</v>
      </c>
      <c r="S21" s="402">
        <f t="shared" si="4"/>
        <v>0</v>
      </c>
      <c r="T21" s="402">
        <f t="shared" si="4"/>
        <v>0</v>
      </c>
      <c r="U21" s="402">
        <f t="shared" si="4"/>
        <v>0</v>
      </c>
      <c r="V21" s="450">
        <f t="shared" si="4"/>
        <v>0</v>
      </c>
      <c r="W21" s="450"/>
      <c r="X21" s="439">
        <v>75414</v>
      </c>
      <c r="Y21" s="439"/>
      <c r="Z21" s="440" t="s">
        <v>364</v>
      </c>
      <c r="AA21" s="472">
        <f>AA22</f>
        <v>0</v>
      </c>
      <c r="AB21" s="472">
        <f>AB22</f>
        <v>0</v>
      </c>
      <c r="AC21" s="466" t="e">
        <f t="shared" si="0"/>
        <v>#DIV/0!</v>
      </c>
    </row>
    <row r="22" spans="1:29" s="118" customFormat="1" ht="63.75" hidden="1">
      <c r="A22" s="774"/>
      <c r="B22" s="775"/>
      <c r="C22" s="49">
        <v>2010</v>
      </c>
      <c r="D22" s="50" t="s">
        <v>165</v>
      </c>
      <c r="E22" s="120"/>
      <c r="F22" s="474"/>
      <c r="G22" s="474"/>
      <c r="H22" s="474"/>
      <c r="I22" s="474"/>
      <c r="J22" s="116"/>
      <c r="K22" s="116"/>
      <c r="L22" s="116"/>
      <c r="M22" s="116">
        <v>200</v>
      </c>
      <c r="N22" s="116"/>
      <c r="O22" s="116"/>
      <c r="P22" s="116"/>
      <c r="Q22" s="116"/>
      <c r="R22" s="116"/>
      <c r="S22" s="116"/>
      <c r="T22" s="116"/>
      <c r="U22" s="116"/>
      <c r="V22" s="120"/>
      <c r="W22" s="120"/>
      <c r="X22" s="116"/>
      <c r="Y22" s="49">
        <v>4210</v>
      </c>
      <c r="Z22" s="50" t="s">
        <v>998</v>
      </c>
      <c r="AA22" s="116"/>
      <c r="AB22" s="116"/>
      <c r="AC22" s="466" t="e">
        <f t="shared" si="0"/>
        <v>#DIV/0!</v>
      </c>
    </row>
    <row r="23" spans="1:29" s="118" customFormat="1" ht="12.75">
      <c r="A23" s="444">
        <v>852</v>
      </c>
      <c r="B23" s="444"/>
      <c r="C23" s="444"/>
      <c r="D23" s="445" t="s">
        <v>353</v>
      </c>
      <c r="E23" s="441">
        <f>E34+E32+E24</f>
        <v>1819200</v>
      </c>
      <c r="F23" s="468" t="e">
        <f>F34+#REF!+#REF!+#REF!+F32+#REF!+#REF!</f>
        <v>#REF!</v>
      </c>
      <c r="G23" s="468" t="e">
        <f>G34+#REF!+#REF!+#REF!+G32+#REF!+#REF!</f>
        <v>#REF!</v>
      </c>
      <c r="H23" s="468" t="e">
        <f>H34+#REF!+#REF!+#REF!+H32+#REF!+#REF!</f>
        <v>#REF!</v>
      </c>
      <c r="I23" s="468" t="e">
        <f>I34+#REF!+#REF!+#REF!+I32+#REF!+#REF!</f>
        <v>#REF!</v>
      </c>
      <c r="J23" s="441" t="e">
        <f>J34+#REF!+#REF!+#REF!+J32+#REF!+#REF!</f>
        <v>#REF!</v>
      </c>
      <c r="K23" s="441" t="e">
        <f>K34+#REF!+#REF!+#REF!+K32+#REF!+#REF!</f>
        <v>#REF!</v>
      </c>
      <c r="L23" s="441" t="e">
        <f>L34+#REF!+#REF!+#REF!+L32+#REF!+#REF!</f>
        <v>#REF!</v>
      </c>
      <c r="M23" s="441" t="e">
        <f>M34+#REF!+#REF!+#REF!+M32+#REF!+#REF!</f>
        <v>#REF!</v>
      </c>
      <c r="N23" s="441" t="e">
        <f>N34+#REF!+#REF!+#REF!+N32+#REF!+#REF!</f>
        <v>#REF!</v>
      </c>
      <c r="O23" s="441" t="e">
        <f>O34+#REF!+#REF!+#REF!+O32+#REF!+#REF!</f>
        <v>#REF!</v>
      </c>
      <c r="P23" s="441" t="e">
        <f>P34+#REF!+#REF!+#REF!+P32+#REF!+#REF!</f>
        <v>#REF!</v>
      </c>
      <c r="Q23" s="441" t="e">
        <f>Q34+#REF!+#REF!+#REF!+Q32+#REF!+#REF!</f>
        <v>#REF!</v>
      </c>
      <c r="R23" s="441" t="e">
        <f>R34+#REF!+#REF!+#REF!+R32+#REF!+#REF!</f>
        <v>#REF!</v>
      </c>
      <c r="S23" s="441" t="e">
        <f>S34+#REF!+#REF!+#REF!+S32+#REF!+#REF!</f>
        <v>#REF!</v>
      </c>
      <c r="T23" s="441" t="e">
        <f>T34+#REF!+#REF!+#REF!+T32+#REF!+#REF!</f>
        <v>#REF!</v>
      </c>
      <c r="U23" s="441" t="e">
        <f>U34+#REF!+#REF!+#REF!+U32+#REF!+#REF!</f>
        <v>#REF!</v>
      </c>
      <c r="V23" s="441">
        <f>V34+V32+V24</f>
        <v>915165</v>
      </c>
      <c r="W23" s="495">
        <f>V23*100/E23</f>
        <v>50.3059036939314</v>
      </c>
      <c r="X23" s="469"/>
      <c r="Y23" s="470"/>
      <c r="Z23" s="470"/>
      <c r="AA23" s="469">
        <f>AA34+AA32+AA24</f>
        <v>1819200</v>
      </c>
      <c r="AB23" s="469">
        <f>AB34+AB32+AB24</f>
        <v>855649.1900000002</v>
      </c>
      <c r="AC23" s="498">
        <f t="shared" si="0"/>
        <v>47.03436620492525</v>
      </c>
    </row>
    <row r="24" spans="1:29" s="482" customFormat="1" ht="51">
      <c r="A24" s="755">
        <v>85212</v>
      </c>
      <c r="B24" s="756"/>
      <c r="C24" s="448"/>
      <c r="D24" s="440" t="s">
        <v>104</v>
      </c>
      <c r="E24" s="508">
        <f>SUM(E25:E29)</f>
        <v>1771100</v>
      </c>
      <c r="F24" s="480"/>
      <c r="G24" s="480"/>
      <c r="H24" s="480"/>
      <c r="I24" s="480"/>
      <c r="J24" s="481"/>
      <c r="K24" s="481"/>
      <c r="L24" s="481"/>
      <c r="M24" s="481"/>
      <c r="N24" s="481"/>
      <c r="O24" s="481"/>
      <c r="P24" s="481"/>
      <c r="Q24" s="481"/>
      <c r="R24" s="481"/>
      <c r="S24" s="481"/>
      <c r="T24" s="481"/>
      <c r="U24" s="481"/>
      <c r="V24" s="508">
        <f>SUM(V25:V29)</f>
        <v>891108</v>
      </c>
      <c r="W24" s="464">
        <f>V24*100/E24</f>
        <v>50.3138162723731</v>
      </c>
      <c r="X24" s="125">
        <v>85212</v>
      </c>
      <c r="Y24" s="448"/>
      <c r="Z24" s="440" t="s">
        <v>104</v>
      </c>
      <c r="AA24" s="508">
        <f>SUM(AA25:AA31)</f>
        <v>1771100</v>
      </c>
      <c r="AB24" s="508">
        <f>SUM(AB25:AB31)</f>
        <v>833554.5300000001</v>
      </c>
      <c r="AC24" s="464">
        <f t="shared" si="0"/>
        <v>47.064227316357076</v>
      </c>
    </row>
    <row r="25" spans="1:29" s="482" customFormat="1" ht="18" customHeight="1">
      <c r="A25" s="757"/>
      <c r="B25" s="758"/>
      <c r="C25" s="807">
        <v>2010</v>
      </c>
      <c r="D25" s="810" t="s">
        <v>165</v>
      </c>
      <c r="E25" s="763">
        <v>1771100</v>
      </c>
      <c r="F25" s="480"/>
      <c r="G25" s="480"/>
      <c r="H25" s="480"/>
      <c r="I25" s="480"/>
      <c r="J25" s="481"/>
      <c r="K25" s="481"/>
      <c r="L25" s="481"/>
      <c r="M25" s="481"/>
      <c r="N25" s="481"/>
      <c r="O25" s="481"/>
      <c r="P25" s="481"/>
      <c r="Q25" s="481"/>
      <c r="R25" s="481"/>
      <c r="S25" s="481"/>
      <c r="T25" s="481"/>
      <c r="U25" s="481"/>
      <c r="V25" s="763">
        <v>891108</v>
      </c>
      <c r="W25" s="763">
        <f>V25*100/E25</f>
        <v>50.3138162723731</v>
      </c>
      <c r="X25" s="771"/>
      <c r="Y25" s="49">
        <v>3110</v>
      </c>
      <c r="Z25" s="50" t="s">
        <v>672</v>
      </c>
      <c r="AA25" s="59">
        <v>1717967</v>
      </c>
      <c r="AB25" s="59">
        <v>808115.64</v>
      </c>
      <c r="AC25" s="497">
        <f t="shared" si="0"/>
        <v>47.03906652456072</v>
      </c>
    </row>
    <row r="26" spans="1:29" s="482" customFormat="1" ht="25.5">
      <c r="A26" s="759"/>
      <c r="B26" s="760"/>
      <c r="C26" s="808"/>
      <c r="D26" s="811"/>
      <c r="E26" s="764"/>
      <c r="F26" s="480"/>
      <c r="G26" s="480"/>
      <c r="H26" s="480"/>
      <c r="I26" s="480"/>
      <c r="J26" s="481"/>
      <c r="K26" s="481"/>
      <c r="L26" s="481"/>
      <c r="M26" s="481"/>
      <c r="N26" s="481"/>
      <c r="O26" s="481"/>
      <c r="P26" s="481"/>
      <c r="Q26" s="481"/>
      <c r="R26" s="481"/>
      <c r="S26" s="481"/>
      <c r="T26" s="481"/>
      <c r="U26" s="481"/>
      <c r="V26" s="764"/>
      <c r="W26" s="764"/>
      <c r="X26" s="772"/>
      <c r="Y26" s="49">
        <v>4010</v>
      </c>
      <c r="Z26" s="50" t="s">
        <v>631</v>
      </c>
      <c r="AA26" s="59">
        <v>34622</v>
      </c>
      <c r="AB26" s="59">
        <v>17320.05</v>
      </c>
      <c r="AC26" s="497">
        <f t="shared" si="0"/>
        <v>50.02613944890532</v>
      </c>
    </row>
    <row r="27" spans="1:29" s="482" customFormat="1" ht="24.75" customHeight="1">
      <c r="A27" s="759"/>
      <c r="B27" s="760"/>
      <c r="C27" s="808"/>
      <c r="D27" s="811"/>
      <c r="E27" s="764"/>
      <c r="F27" s="480"/>
      <c r="G27" s="480"/>
      <c r="H27" s="480"/>
      <c r="I27" s="480"/>
      <c r="J27" s="481"/>
      <c r="K27" s="481"/>
      <c r="L27" s="481"/>
      <c r="M27" s="481"/>
      <c r="N27" s="481"/>
      <c r="O27" s="481"/>
      <c r="P27" s="481"/>
      <c r="Q27" s="481"/>
      <c r="R27" s="481"/>
      <c r="S27" s="481"/>
      <c r="T27" s="481"/>
      <c r="U27" s="481"/>
      <c r="V27" s="764"/>
      <c r="W27" s="764"/>
      <c r="X27" s="772"/>
      <c r="Y27" s="49">
        <v>4110</v>
      </c>
      <c r="Z27" s="50" t="s">
        <v>632</v>
      </c>
      <c r="AA27" s="59">
        <v>5228</v>
      </c>
      <c r="AB27" s="59">
        <v>2647.02</v>
      </c>
      <c r="AC27" s="497">
        <f t="shared" si="0"/>
        <v>50.631599081866874</v>
      </c>
    </row>
    <row r="28" spans="1:29" s="482" customFormat="1" ht="27" customHeight="1">
      <c r="A28" s="759"/>
      <c r="B28" s="760"/>
      <c r="C28" s="808"/>
      <c r="D28" s="811"/>
      <c r="E28" s="764"/>
      <c r="F28" s="480"/>
      <c r="G28" s="480"/>
      <c r="H28" s="480"/>
      <c r="I28" s="480"/>
      <c r="J28" s="481"/>
      <c r="K28" s="481"/>
      <c r="L28" s="481"/>
      <c r="M28" s="481"/>
      <c r="N28" s="481"/>
      <c r="O28" s="481"/>
      <c r="P28" s="481"/>
      <c r="Q28" s="481"/>
      <c r="R28" s="481"/>
      <c r="S28" s="481"/>
      <c r="T28" s="481"/>
      <c r="U28" s="481"/>
      <c r="V28" s="764"/>
      <c r="W28" s="764"/>
      <c r="X28" s="772"/>
      <c r="Y28" s="49">
        <v>4210</v>
      </c>
      <c r="Z28" s="50" t="s">
        <v>998</v>
      </c>
      <c r="AA28" s="59">
        <v>1092</v>
      </c>
      <c r="AB28" s="59">
        <v>538.02</v>
      </c>
      <c r="AC28" s="497">
        <f t="shared" si="0"/>
        <v>49.26923076923077</v>
      </c>
    </row>
    <row r="29" spans="1:29" s="482" customFormat="1" ht="13.5" customHeight="1">
      <c r="A29" s="759"/>
      <c r="B29" s="760"/>
      <c r="C29" s="808"/>
      <c r="D29" s="811"/>
      <c r="E29" s="764"/>
      <c r="F29" s="480"/>
      <c r="G29" s="480"/>
      <c r="H29" s="480"/>
      <c r="I29" s="480"/>
      <c r="J29" s="481"/>
      <c r="K29" s="481"/>
      <c r="L29" s="481"/>
      <c r="M29" s="481"/>
      <c r="N29" s="481"/>
      <c r="O29" s="481"/>
      <c r="P29" s="481"/>
      <c r="Q29" s="481"/>
      <c r="R29" s="481"/>
      <c r="S29" s="481"/>
      <c r="T29" s="481"/>
      <c r="U29" s="481"/>
      <c r="V29" s="764"/>
      <c r="W29" s="764"/>
      <c r="X29" s="772"/>
      <c r="Y29" s="49">
        <v>4300</v>
      </c>
      <c r="Z29" s="50" t="s">
        <v>1000</v>
      </c>
      <c r="AA29" s="59">
        <v>11000</v>
      </c>
      <c r="AB29" s="59">
        <v>4643.4</v>
      </c>
      <c r="AC29" s="497">
        <f t="shared" si="0"/>
        <v>42.212727272727264</v>
      </c>
    </row>
    <row r="30" spans="1:29" s="482" customFormat="1" ht="13.5" customHeight="1">
      <c r="A30" s="759"/>
      <c r="B30" s="760"/>
      <c r="C30" s="808"/>
      <c r="D30" s="811"/>
      <c r="E30" s="764"/>
      <c r="F30" s="480"/>
      <c r="G30" s="480"/>
      <c r="H30" s="480"/>
      <c r="I30" s="480"/>
      <c r="J30" s="481"/>
      <c r="K30" s="481"/>
      <c r="L30" s="481"/>
      <c r="M30" s="481"/>
      <c r="N30" s="481"/>
      <c r="O30" s="481"/>
      <c r="P30" s="481"/>
      <c r="Q30" s="481"/>
      <c r="R30" s="481"/>
      <c r="S30" s="481"/>
      <c r="T30" s="481"/>
      <c r="U30" s="481"/>
      <c r="V30" s="764"/>
      <c r="W30" s="764"/>
      <c r="X30" s="772"/>
      <c r="Y30" s="49">
        <v>4410</v>
      </c>
      <c r="Z30" s="50" t="s">
        <v>635</v>
      </c>
      <c r="AA30" s="59">
        <v>191</v>
      </c>
      <c r="AB30" s="59">
        <v>60.4</v>
      </c>
      <c r="AC30" s="497">
        <f>AB30*100/AA30</f>
        <v>31.623036649214658</v>
      </c>
    </row>
    <row r="31" spans="1:29" s="482" customFormat="1" ht="45.75" customHeight="1">
      <c r="A31" s="761"/>
      <c r="B31" s="762"/>
      <c r="C31" s="809"/>
      <c r="D31" s="812"/>
      <c r="E31" s="765"/>
      <c r="F31" s="480"/>
      <c r="G31" s="480"/>
      <c r="H31" s="480"/>
      <c r="I31" s="480"/>
      <c r="J31" s="481"/>
      <c r="K31" s="481"/>
      <c r="L31" s="481"/>
      <c r="M31" s="481"/>
      <c r="N31" s="481"/>
      <c r="O31" s="481"/>
      <c r="P31" s="481"/>
      <c r="Q31" s="481"/>
      <c r="R31" s="481"/>
      <c r="S31" s="481"/>
      <c r="T31" s="481"/>
      <c r="U31" s="481"/>
      <c r="V31" s="765"/>
      <c r="W31" s="765"/>
      <c r="X31" s="773"/>
      <c r="Y31" s="49">
        <v>4700</v>
      </c>
      <c r="Z31" s="42" t="s">
        <v>805</v>
      </c>
      <c r="AA31" s="59">
        <v>1000</v>
      </c>
      <c r="AB31" s="59">
        <v>230</v>
      </c>
      <c r="AC31" s="497">
        <f t="shared" si="0"/>
        <v>23</v>
      </c>
    </row>
    <row r="32" spans="1:29" s="123" customFormat="1" ht="66" customHeight="1">
      <c r="A32" s="803">
        <v>85213</v>
      </c>
      <c r="B32" s="804"/>
      <c r="C32" s="439"/>
      <c r="D32" s="440" t="s">
        <v>105</v>
      </c>
      <c r="E32" s="443">
        <f>E33</f>
        <v>11200</v>
      </c>
      <c r="F32" s="483">
        <f aca="true" t="shared" si="5" ref="F32:K32">F33</f>
        <v>0</v>
      </c>
      <c r="G32" s="483">
        <f t="shared" si="5"/>
        <v>0</v>
      </c>
      <c r="H32" s="483">
        <f t="shared" si="5"/>
        <v>2500</v>
      </c>
      <c r="I32" s="483">
        <f t="shared" si="5"/>
        <v>0</v>
      </c>
      <c r="J32" s="443">
        <f t="shared" si="5"/>
        <v>1183</v>
      </c>
      <c r="K32" s="443">
        <f t="shared" si="5"/>
        <v>805</v>
      </c>
      <c r="L32" s="443">
        <f>L33</f>
        <v>582</v>
      </c>
      <c r="M32" s="443">
        <f>M33</f>
        <v>1183</v>
      </c>
      <c r="N32" s="443">
        <f>N33</f>
        <v>2163</v>
      </c>
      <c r="O32" s="443"/>
      <c r="P32" s="443"/>
      <c r="Q32" s="443"/>
      <c r="R32" s="443"/>
      <c r="S32" s="443"/>
      <c r="T32" s="443"/>
      <c r="U32" s="443"/>
      <c r="V32" s="443">
        <f>V33</f>
        <v>5598</v>
      </c>
      <c r="W32" s="464">
        <f>V32*100/E32</f>
        <v>49.982142857142854</v>
      </c>
      <c r="X32" s="439">
        <v>85213</v>
      </c>
      <c r="Y32" s="439"/>
      <c r="Z32" s="440" t="s">
        <v>105</v>
      </c>
      <c r="AA32" s="443">
        <f>AA33</f>
        <v>11200</v>
      </c>
      <c r="AB32" s="443">
        <f>AB33</f>
        <v>4168.73</v>
      </c>
      <c r="AC32" s="464">
        <f t="shared" si="0"/>
        <v>37.22080357142857</v>
      </c>
    </row>
    <row r="33" spans="1:29" s="123" customFormat="1" ht="57" customHeight="1">
      <c r="A33" s="776"/>
      <c r="B33" s="777"/>
      <c r="C33" s="49">
        <v>2010</v>
      </c>
      <c r="D33" s="50" t="s">
        <v>165</v>
      </c>
      <c r="E33" s="124">
        <v>11200</v>
      </c>
      <c r="F33" s="483"/>
      <c r="G33" s="483"/>
      <c r="H33" s="449">
        <v>2500</v>
      </c>
      <c r="I33" s="483"/>
      <c r="J33" s="124">
        <v>1183</v>
      </c>
      <c r="K33" s="124">
        <v>805</v>
      </c>
      <c r="L33" s="124">
        <v>582</v>
      </c>
      <c r="M33" s="124">
        <v>1183</v>
      </c>
      <c r="N33" s="124">
        <v>2163</v>
      </c>
      <c r="O33" s="443"/>
      <c r="P33" s="443"/>
      <c r="Q33" s="443"/>
      <c r="R33" s="443"/>
      <c r="S33" s="443"/>
      <c r="T33" s="443"/>
      <c r="U33" s="443"/>
      <c r="V33" s="124">
        <v>5598</v>
      </c>
      <c r="W33" s="224">
        <f>V33*100/E33</f>
        <v>49.982142857142854</v>
      </c>
      <c r="X33" s="443"/>
      <c r="Y33" s="49">
        <v>4130</v>
      </c>
      <c r="Z33" s="50" t="s">
        <v>673</v>
      </c>
      <c r="AA33" s="124">
        <v>11200</v>
      </c>
      <c r="AB33" s="124">
        <v>4168.73</v>
      </c>
      <c r="AC33" s="497">
        <f t="shared" si="0"/>
        <v>37.22080357142857</v>
      </c>
    </row>
    <row r="34" spans="1:29" s="118" customFormat="1" ht="38.25">
      <c r="A34" s="803">
        <v>85214</v>
      </c>
      <c r="B34" s="804"/>
      <c r="C34" s="439"/>
      <c r="D34" s="440" t="s">
        <v>106</v>
      </c>
      <c r="E34" s="402">
        <f aca="true" t="shared" si="6" ref="E34:V34">E35</f>
        <v>36900</v>
      </c>
      <c r="F34" s="471">
        <f t="shared" si="6"/>
        <v>0</v>
      </c>
      <c r="G34" s="471">
        <f t="shared" si="6"/>
        <v>53000</v>
      </c>
      <c r="H34" s="471">
        <f t="shared" si="6"/>
        <v>14800</v>
      </c>
      <c r="I34" s="471">
        <f t="shared" si="6"/>
        <v>0</v>
      </c>
      <c r="J34" s="402">
        <f t="shared" si="6"/>
        <v>20100</v>
      </c>
      <c r="K34" s="402">
        <f t="shared" si="6"/>
        <v>32427</v>
      </c>
      <c r="L34" s="402">
        <f t="shared" si="6"/>
        <v>22000</v>
      </c>
      <c r="M34" s="402">
        <f t="shared" si="6"/>
        <v>20100</v>
      </c>
      <c r="N34" s="402">
        <f t="shared" si="6"/>
        <v>29168</v>
      </c>
      <c r="O34" s="402">
        <f t="shared" si="6"/>
        <v>0</v>
      </c>
      <c r="P34" s="402">
        <f t="shared" si="6"/>
        <v>0</v>
      </c>
      <c r="Q34" s="402">
        <f t="shared" si="6"/>
        <v>0</v>
      </c>
      <c r="R34" s="402">
        <f t="shared" si="6"/>
        <v>0</v>
      </c>
      <c r="S34" s="402">
        <f t="shared" si="6"/>
        <v>0</v>
      </c>
      <c r="T34" s="402">
        <f t="shared" si="6"/>
        <v>0</v>
      </c>
      <c r="U34" s="402">
        <f t="shared" si="6"/>
        <v>0</v>
      </c>
      <c r="V34" s="402">
        <f t="shared" si="6"/>
        <v>18459</v>
      </c>
      <c r="W34" s="464">
        <f>V34*100/E34</f>
        <v>50.02439024390244</v>
      </c>
      <c r="X34" s="439">
        <v>85214</v>
      </c>
      <c r="Y34" s="439"/>
      <c r="Z34" s="440" t="s">
        <v>106</v>
      </c>
      <c r="AA34" s="402">
        <f>AA35</f>
        <v>36900</v>
      </c>
      <c r="AB34" s="402">
        <f>AB35</f>
        <v>17925.93</v>
      </c>
      <c r="AC34" s="464">
        <f t="shared" si="0"/>
        <v>48.579756097560974</v>
      </c>
    </row>
    <row r="35" spans="1:29" s="118" customFormat="1" ht="55.5" customHeight="1">
      <c r="A35" s="774"/>
      <c r="B35" s="775"/>
      <c r="C35" s="467">
        <v>2010</v>
      </c>
      <c r="D35" s="174" t="s">
        <v>165</v>
      </c>
      <c r="E35" s="224">
        <v>36900</v>
      </c>
      <c r="F35" s="484"/>
      <c r="G35" s="484">
        <v>53000</v>
      </c>
      <c r="H35" s="484">
        <v>14800</v>
      </c>
      <c r="I35" s="484"/>
      <c r="J35" s="120">
        <v>20100</v>
      </c>
      <c r="K35" s="120">
        <v>32427</v>
      </c>
      <c r="L35" s="120">
        <v>22000</v>
      </c>
      <c r="M35" s="120">
        <v>20100</v>
      </c>
      <c r="N35" s="120">
        <v>29168</v>
      </c>
      <c r="O35" s="120"/>
      <c r="P35" s="120"/>
      <c r="Q35" s="120"/>
      <c r="R35" s="120"/>
      <c r="S35" s="120"/>
      <c r="T35" s="120"/>
      <c r="U35" s="120"/>
      <c r="V35" s="224">
        <v>18459</v>
      </c>
      <c r="W35" s="224">
        <f>V35*100/E35</f>
        <v>50.02439024390244</v>
      </c>
      <c r="X35" s="475"/>
      <c r="Y35" s="49">
        <v>3110</v>
      </c>
      <c r="Z35" s="50" t="s">
        <v>672</v>
      </c>
      <c r="AA35" s="43">
        <v>36900</v>
      </c>
      <c r="AB35" s="43">
        <v>17925.93</v>
      </c>
      <c r="AC35" s="497">
        <f t="shared" si="0"/>
        <v>48.579756097560974</v>
      </c>
    </row>
    <row r="36" spans="1:29" s="487" customFormat="1" ht="15" customHeight="1">
      <c r="A36" s="753" t="s">
        <v>989</v>
      </c>
      <c r="B36" s="754"/>
      <c r="C36" s="754"/>
      <c r="D36" s="749"/>
      <c r="E36" s="485">
        <f>E13+E20+E23+E17+E8</f>
        <v>2125520</v>
      </c>
      <c r="F36" s="485" t="e">
        <f>F13+F20+#REF!+F23+#REF!</f>
        <v>#REF!</v>
      </c>
      <c r="G36" s="485" t="e">
        <f>G13+G20+#REF!+G23+#REF!</f>
        <v>#REF!</v>
      </c>
      <c r="H36" s="485" t="e">
        <f>H13+H20+#REF!+H23+#REF!</f>
        <v>#REF!</v>
      </c>
      <c r="I36" s="485" t="e">
        <f>I13+I20+#REF!+I23+#REF!</f>
        <v>#REF!</v>
      </c>
      <c r="J36" s="485" t="e">
        <f>J13+J20+#REF!+J23+#REF!</f>
        <v>#REF!</v>
      </c>
      <c r="K36" s="485" t="e">
        <f>K13+K20+#REF!+K23+#REF!</f>
        <v>#REF!</v>
      </c>
      <c r="L36" s="485" t="e">
        <f>L13+L20+#REF!+L23+#REF!</f>
        <v>#REF!</v>
      </c>
      <c r="M36" s="485" t="e">
        <f>M13+M20+#REF!+M23+#REF!</f>
        <v>#REF!</v>
      </c>
      <c r="N36" s="485" t="e">
        <f>N13+N20+#REF!+N23+#REF!</f>
        <v>#REF!</v>
      </c>
      <c r="O36" s="485" t="e">
        <f>O13+O20+#REF!+O23+#REF!</f>
        <v>#REF!</v>
      </c>
      <c r="P36" s="485" t="e">
        <f>P13+P20+#REF!+P23+#REF!</f>
        <v>#REF!</v>
      </c>
      <c r="Q36" s="485" t="e">
        <f>Q13+Q20+#REF!+Q23+#REF!</f>
        <v>#REF!</v>
      </c>
      <c r="R36" s="485" t="e">
        <f>R13+R20+#REF!+R23+#REF!</f>
        <v>#REF!</v>
      </c>
      <c r="S36" s="485" t="e">
        <f>S13+S20+#REF!+S23+#REF!</f>
        <v>#REF!</v>
      </c>
      <c r="T36" s="485" t="e">
        <f>T13+T20+#REF!+T23+#REF!</f>
        <v>#REF!</v>
      </c>
      <c r="U36" s="485" t="e">
        <f>U13+U20+#REF!+U23+#REF!</f>
        <v>#REF!</v>
      </c>
      <c r="V36" s="485">
        <f>V13+V20+V23+V17+V8</f>
        <v>1194324.48</v>
      </c>
      <c r="W36" s="496">
        <f>V36*100/E36</f>
        <v>56.18975497760548</v>
      </c>
      <c r="X36" s="750"/>
      <c r="Y36" s="751"/>
      <c r="Z36" s="752"/>
      <c r="AA36" s="486">
        <f>AA13+AA20+AA23+AA17+AA8</f>
        <v>2125520</v>
      </c>
      <c r="AB36" s="486">
        <f>AB13+AB20+AB23+AB17+AB8</f>
        <v>1134247.6700000002</v>
      </c>
      <c r="AC36" s="746">
        <f t="shared" si="0"/>
        <v>53.36330262712184</v>
      </c>
    </row>
    <row r="37" spans="5:28" s="118" customFormat="1" ht="12.75">
      <c r="E37" s="451"/>
      <c r="F37" s="453"/>
      <c r="G37" s="453"/>
      <c r="H37" s="453"/>
      <c r="I37" s="453"/>
      <c r="V37" s="451"/>
      <c r="W37" s="451"/>
      <c r="AA37" s="446"/>
      <c r="AB37" s="446"/>
    </row>
    <row r="38" spans="5:29" s="118" customFormat="1" ht="12.75">
      <c r="E38" s="452"/>
      <c r="F38" s="488"/>
      <c r="G38" s="488"/>
      <c r="H38" s="488"/>
      <c r="I38" s="488"/>
      <c r="J38" s="446"/>
      <c r="K38" s="446"/>
      <c r="L38" s="446"/>
      <c r="M38" s="446"/>
      <c r="N38" s="446"/>
      <c r="O38" s="446"/>
      <c r="P38" s="446"/>
      <c r="Q38" s="446"/>
      <c r="R38" s="446"/>
      <c r="S38" s="446"/>
      <c r="T38" s="446"/>
      <c r="U38" s="446"/>
      <c r="V38" s="452"/>
      <c r="W38" s="452"/>
      <c r="X38" s="446"/>
      <c r="AA38" s="446"/>
      <c r="AB38" s="446"/>
      <c r="AC38" s="446"/>
    </row>
    <row r="39" spans="5:29" s="118" customFormat="1" ht="12.75">
      <c r="E39" s="452"/>
      <c r="F39" s="488"/>
      <c r="G39" s="488"/>
      <c r="H39" s="488"/>
      <c r="I39" s="488"/>
      <c r="J39" s="446"/>
      <c r="K39" s="446"/>
      <c r="L39" s="446"/>
      <c r="M39" s="446"/>
      <c r="N39" s="446"/>
      <c r="O39" s="446"/>
      <c r="P39" s="446"/>
      <c r="Q39" s="446"/>
      <c r="R39" s="446"/>
      <c r="S39" s="446"/>
      <c r="T39" s="446"/>
      <c r="U39" s="446"/>
      <c r="V39" s="452"/>
      <c r="W39" s="452"/>
      <c r="X39" s="446"/>
      <c r="AA39" s="446"/>
      <c r="AB39" s="446"/>
      <c r="AC39" s="446"/>
    </row>
    <row r="40" spans="5:28" s="118" customFormat="1" ht="12.75">
      <c r="E40" s="451"/>
      <c r="F40" s="453"/>
      <c r="G40" s="453"/>
      <c r="H40" s="453"/>
      <c r="I40" s="453"/>
      <c r="V40" s="451"/>
      <c r="W40" s="451"/>
      <c r="AA40" s="446"/>
      <c r="AB40" s="446"/>
    </row>
    <row r="41" spans="5:28" s="118" customFormat="1" ht="12.75">
      <c r="E41" s="451"/>
      <c r="F41" s="453"/>
      <c r="G41" s="453"/>
      <c r="H41" s="453"/>
      <c r="I41" s="453"/>
      <c r="V41" s="451"/>
      <c r="W41" s="451"/>
      <c r="AA41" s="446"/>
      <c r="AB41" s="446"/>
    </row>
    <row r="42" spans="5:28" s="118" customFormat="1" ht="12.75">
      <c r="E42" s="451"/>
      <c r="F42" s="453"/>
      <c r="G42" s="453"/>
      <c r="H42" s="453"/>
      <c r="I42" s="453"/>
      <c r="V42" s="451"/>
      <c r="W42" s="451"/>
      <c r="AA42" s="446"/>
      <c r="AB42" s="446"/>
    </row>
    <row r="43" spans="5:28" s="118" customFormat="1" ht="12.75">
      <c r="E43" s="451"/>
      <c r="F43" s="453"/>
      <c r="G43" s="453"/>
      <c r="H43" s="453"/>
      <c r="I43" s="453"/>
      <c r="V43" s="451"/>
      <c r="W43" s="451"/>
      <c r="AA43" s="446"/>
      <c r="AB43" s="446"/>
    </row>
    <row r="44" spans="5:28" s="118" customFormat="1" ht="12.75">
      <c r="E44" s="451"/>
      <c r="F44" s="453"/>
      <c r="G44" s="453"/>
      <c r="H44" s="453"/>
      <c r="I44" s="453"/>
      <c r="V44" s="451"/>
      <c r="W44" s="451"/>
      <c r="AA44" s="446"/>
      <c r="AB44" s="446"/>
    </row>
    <row r="45" spans="27:28" ht="12.75">
      <c r="AA45" s="489"/>
      <c r="AB45" s="489"/>
    </row>
    <row r="46" spans="27:28" ht="12.75">
      <c r="AA46" s="489"/>
      <c r="AB46" s="489"/>
    </row>
    <row r="47" spans="27:28" ht="12.75">
      <c r="AA47" s="489"/>
      <c r="AB47" s="489"/>
    </row>
    <row r="48" spans="27:28" ht="12.75">
      <c r="AA48" s="489"/>
      <c r="AB48" s="489"/>
    </row>
    <row r="49" spans="27:28" ht="12.75">
      <c r="AA49" s="489"/>
      <c r="AB49" s="489"/>
    </row>
    <row r="50" spans="27:28" ht="12.75">
      <c r="AA50" s="489"/>
      <c r="AB50" s="489"/>
    </row>
    <row r="51" spans="27:28" ht="12.75">
      <c r="AA51" s="489"/>
      <c r="AB51" s="489"/>
    </row>
    <row r="52" spans="27:28" ht="12.75">
      <c r="AA52" s="489"/>
      <c r="AB52" s="489"/>
    </row>
    <row r="53" spans="27:28" ht="12.75">
      <c r="AA53" s="489"/>
      <c r="AB53" s="489"/>
    </row>
    <row r="54" spans="27:28" ht="12.75">
      <c r="AA54" s="489"/>
      <c r="AB54" s="489"/>
    </row>
    <row r="55" spans="27:28" ht="12.75">
      <c r="AA55" s="489"/>
      <c r="AB55" s="489"/>
    </row>
    <row r="56" spans="27:28" ht="12.75">
      <c r="AA56" s="489"/>
      <c r="AB56" s="489"/>
    </row>
    <row r="57" spans="27:28" ht="12.75">
      <c r="AA57" s="489"/>
      <c r="AB57" s="489"/>
    </row>
    <row r="58" spans="27:28" ht="12.75">
      <c r="AA58" s="489"/>
      <c r="AB58" s="489"/>
    </row>
    <row r="59" spans="27:28" ht="12.75">
      <c r="AA59" s="489"/>
      <c r="AB59" s="489"/>
    </row>
    <row r="60" spans="27:28" ht="12.75">
      <c r="AA60" s="489"/>
      <c r="AB60" s="489"/>
    </row>
    <row r="61" spans="27:28" ht="12.75">
      <c r="AA61" s="489"/>
      <c r="AB61" s="489"/>
    </row>
    <row r="62" spans="27:28" ht="12.75">
      <c r="AA62" s="489"/>
      <c r="AB62" s="489"/>
    </row>
    <row r="63" spans="27:28" ht="12.75">
      <c r="AA63" s="489"/>
      <c r="AB63" s="489"/>
    </row>
    <row r="64" spans="27:28" ht="12.75">
      <c r="AA64" s="489"/>
      <c r="AB64" s="489"/>
    </row>
    <row r="65" spans="27:28" ht="12.75">
      <c r="AA65" s="489"/>
      <c r="AB65" s="489"/>
    </row>
    <row r="66" spans="27:28" ht="12.75">
      <c r="AA66" s="489"/>
      <c r="AB66" s="489"/>
    </row>
    <row r="67" spans="27:28" ht="12.75">
      <c r="AA67" s="489"/>
      <c r="AB67" s="489"/>
    </row>
  </sheetData>
  <mergeCells count="35">
    <mergeCell ref="X36:Z36"/>
    <mergeCell ref="A36:D36"/>
    <mergeCell ref="V10:V12"/>
    <mergeCell ref="V15:V16"/>
    <mergeCell ref="V25:V31"/>
    <mergeCell ref="W10:W12"/>
    <mergeCell ref="W15:W16"/>
    <mergeCell ref="W25:W31"/>
    <mergeCell ref="W19:W20"/>
    <mergeCell ref="A33:B33"/>
    <mergeCell ref="A34:B34"/>
    <mergeCell ref="A35:B35"/>
    <mergeCell ref="D25:D31"/>
    <mergeCell ref="E25:E31"/>
    <mergeCell ref="X25:X31"/>
    <mergeCell ref="A32:B32"/>
    <mergeCell ref="A22:B22"/>
    <mergeCell ref="A24:B24"/>
    <mergeCell ref="A25:B31"/>
    <mergeCell ref="C25:C31"/>
    <mergeCell ref="A18:B18"/>
    <mergeCell ref="A19:B19"/>
    <mergeCell ref="E15:E16"/>
    <mergeCell ref="A21:B21"/>
    <mergeCell ref="A15:B16"/>
    <mergeCell ref="C15:C16"/>
    <mergeCell ref="D15:D16"/>
    <mergeCell ref="A3:AC3"/>
    <mergeCell ref="AB1:AC1"/>
    <mergeCell ref="A14:B14"/>
    <mergeCell ref="X15:X16"/>
    <mergeCell ref="A4:AA4"/>
    <mergeCell ref="C10:C12"/>
    <mergeCell ref="D10:D12"/>
    <mergeCell ref="E10:E12"/>
  </mergeCells>
  <printOptions/>
  <pageMargins left="0.17" right="0.17" top="0.37" bottom="0.17" header="0.33" footer="0.17"/>
  <pageSetup fitToHeight="1" fitToWidth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B1:AH388"/>
  <sheetViews>
    <sheetView zoomScale="150" zoomScaleNormal="150" workbookViewId="0" topLeftCell="A94">
      <selection activeCell="B1" sqref="B1:AE354"/>
    </sheetView>
  </sheetViews>
  <sheetFormatPr defaultColWidth="9.140625" defaultRowHeight="12.75"/>
  <cols>
    <col min="1" max="1" width="3.7109375" style="18" customWidth="1"/>
    <col min="2" max="2" width="5.28125" style="18" customWidth="1"/>
    <col min="3" max="3" width="7.8515625" style="18" customWidth="1"/>
    <col min="4" max="4" width="4.8515625" style="18" customWidth="1"/>
    <col min="5" max="5" width="36.57421875" style="18" customWidth="1"/>
    <col min="6" max="6" width="16.00390625" style="594" hidden="1" customWidth="1"/>
    <col min="7" max="7" width="12.57421875" style="18" hidden="1" customWidth="1"/>
    <col min="8" max="8" width="11.7109375" style="82" hidden="1" customWidth="1"/>
    <col min="9" max="9" width="12.00390625" style="18" hidden="1" customWidth="1"/>
    <col min="10" max="10" width="13.00390625" style="18" hidden="1" customWidth="1"/>
    <col min="11" max="11" width="12.421875" style="18" hidden="1" customWidth="1"/>
    <col min="12" max="12" width="14.140625" style="18" hidden="1" customWidth="1"/>
    <col min="13" max="13" width="13.00390625" style="18" hidden="1" customWidth="1"/>
    <col min="14" max="14" width="15.140625" style="82" hidden="1" customWidth="1"/>
    <col min="15" max="15" width="12.140625" style="82" hidden="1" customWidth="1"/>
    <col min="16" max="16" width="17.7109375" style="83" customWidth="1"/>
    <col min="17" max="17" width="14.28125" style="18" hidden="1" customWidth="1"/>
    <col min="18" max="20" width="14.00390625" style="18" hidden="1" customWidth="1"/>
    <col min="21" max="21" width="11.140625" style="18" hidden="1" customWidth="1"/>
    <col min="22" max="27" width="14.00390625" style="18" hidden="1" customWidth="1"/>
    <col min="28" max="28" width="4.140625" style="18" hidden="1" customWidth="1"/>
    <col min="29" max="29" width="18.421875" style="18" customWidth="1"/>
    <col min="30" max="30" width="16.57421875" style="18" hidden="1" customWidth="1"/>
    <col min="31" max="31" width="6.8515625" style="18" customWidth="1"/>
    <col min="32" max="32" width="10.421875" style="18" customWidth="1"/>
    <col min="33" max="35" width="11.57421875" style="18" customWidth="1"/>
    <col min="36" max="16384" width="9.140625" style="18" customWidth="1"/>
  </cols>
  <sheetData>
    <row r="1" spans="2:31" ht="15">
      <c r="B1" s="19" t="s">
        <v>1051</v>
      </c>
      <c r="C1" s="20"/>
      <c r="D1" s="21"/>
      <c r="F1" s="580"/>
      <c r="G1" s="22"/>
      <c r="H1" s="23"/>
      <c r="I1" s="22"/>
      <c r="J1" s="22"/>
      <c r="K1" s="22"/>
      <c r="L1" s="22"/>
      <c r="M1" s="22"/>
      <c r="N1" s="23"/>
      <c r="O1" s="23"/>
      <c r="P1" s="24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5"/>
      <c r="AD1" s="26"/>
      <c r="AE1" s="27" t="s">
        <v>992</v>
      </c>
    </row>
    <row r="2" spans="2:31" ht="15.75" thickBot="1">
      <c r="B2" s="19"/>
      <c r="C2" s="20"/>
      <c r="D2" s="21"/>
      <c r="F2" s="580"/>
      <c r="G2" s="22"/>
      <c r="H2" s="23"/>
      <c r="I2" s="22"/>
      <c r="J2" s="22"/>
      <c r="K2" s="22"/>
      <c r="L2" s="22"/>
      <c r="M2" s="22"/>
      <c r="N2" s="23"/>
      <c r="O2" s="23"/>
      <c r="P2" s="24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5"/>
      <c r="AD2" s="26"/>
      <c r="AE2" s="27"/>
    </row>
    <row r="3" spans="2:31" s="28" customFormat="1" ht="42.75" customHeight="1" thickBot="1">
      <c r="B3" s="398" t="s">
        <v>135</v>
      </c>
      <c r="C3" s="397" t="s">
        <v>993</v>
      </c>
      <c r="D3" s="397" t="s">
        <v>137</v>
      </c>
      <c r="E3" s="397" t="s">
        <v>138</v>
      </c>
      <c r="F3" s="581" t="s">
        <v>1052</v>
      </c>
      <c r="G3" s="397" t="s">
        <v>1052</v>
      </c>
      <c r="H3" s="326" t="s">
        <v>139</v>
      </c>
      <c r="I3" s="326"/>
      <c r="J3" s="326" t="s">
        <v>154</v>
      </c>
      <c r="K3" s="321"/>
      <c r="L3" s="327"/>
      <c r="M3" s="321"/>
      <c r="N3" s="326"/>
      <c r="O3" s="326" t="s">
        <v>154</v>
      </c>
      <c r="P3" s="396" t="s">
        <v>994</v>
      </c>
      <c r="Q3" s="397" t="s">
        <v>141</v>
      </c>
      <c r="R3" s="397" t="s">
        <v>142</v>
      </c>
      <c r="S3" s="397" t="s">
        <v>143</v>
      </c>
      <c r="T3" s="397" t="s">
        <v>144</v>
      </c>
      <c r="U3" s="397" t="s">
        <v>145</v>
      </c>
      <c r="V3" s="397" t="s">
        <v>146</v>
      </c>
      <c r="W3" s="397" t="s">
        <v>147</v>
      </c>
      <c r="X3" s="397" t="s">
        <v>148</v>
      </c>
      <c r="Y3" s="397" t="s">
        <v>149</v>
      </c>
      <c r="Z3" s="397" t="s">
        <v>150</v>
      </c>
      <c r="AA3" s="397" t="s">
        <v>151</v>
      </c>
      <c r="AB3" s="397" t="s">
        <v>152</v>
      </c>
      <c r="AC3" s="395" t="s">
        <v>783</v>
      </c>
      <c r="AD3" s="501" t="s">
        <v>995</v>
      </c>
      <c r="AE3" s="502" t="s">
        <v>153</v>
      </c>
    </row>
    <row r="4" spans="2:31" ht="12.75">
      <c r="B4" s="329"/>
      <c r="C4" s="330"/>
      <c r="D4" s="330"/>
      <c r="E4" s="330"/>
      <c r="F4" s="582" t="s">
        <v>1053</v>
      </c>
      <c r="G4" s="330" t="s">
        <v>1054</v>
      </c>
      <c r="H4" s="331"/>
      <c r="I4" s="331"/>
      <c r="J4" s="331"/>
      <c r="K4" s="331"/>
      <c r="L4" s="331"/>
      <c r="M4" s="331"/>
      <c r="N4" s="331"/>
      <c r="O4" s="331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2"/>
      <c r="AD4" s="332"/>
      <c r="AE4" s="333"/>
    </row>
    <row r="5" spans="2:31" ht="12.75">
      <c r="B5" s="334" t="s">
        <v>155</v>
      </c>
      <c r="C5" s="29"/>
      <c r="D5" s="29"/>
      <c r="E5" s="30" t="s">
        <v>156</v>
      </c>
      <c r="F5" s="335">
        <f>F6+F10+F13+F15+F17</f>
        <v>971800</v>
      </c>
      <c r="G5" s="31">
        <f>G6+G10+G13+G15+G17</f>
        <v>811300</v>
      </c>
      <c r="H5" s="32">
        <f>H6+H10+H13+H15+H17</f>
        <v>1385000</v>
      </c>
      <c r="I5" s="335">
        <f aca="true" t="shared" si="0" ref="I5:O5">I6+I10+I13+I15+I17</f>
        <v>-173500</v>
      </c>
      <c r="J5" s="335">
        <f t="shared" si="0"/>
        <v>-567384</v>
      </c>
      <c r="K5" s="32">
        <f t="shared" si="0"/>
        <v>0</v>
      </c>
      <c r="L5" s="32">
        <f t="shared" si="0"/>
        <v>0</v>
      </c>
      <c r="M5" s="32">
        <f t="shared" si="0"/>
        <v>0</v>
      </c>
      <c r="N5" s="32">
        <f t="shared" si="0"/>
        <v>0</v>
      </c>
      <c r="O5" s="32">
        <f t="shared" si="0"/>
        <v>0</v>
      </c>
      <c r="P5" s="31">
        <f>P6+P10+P13+P15+P17</f>
        <v>1455416</v>
      </c>
      <c r="Q5" s="31">
        <f>Q6+Q10+Q13+Q15+Q17</f>
        <v>0</v>
      </c>
      <c r="R5" s="31">
        <f aca="true" t="shared" si="1" ref="R5:AB5">R6+R10+R13+R15+R17</f>
        <v>2194.53</v>
      </c>
      <c r="S5" s="31">
        <f t="shared" si="1"/>
        <v>37153.59999999999</v>
      </c>
      <c r="T5" s="31">
        <f>T6+T10+T13+T15+T17</f>
        <v>8962.380000000001</v>
      </c>
      <c r="U5" s="31">
        <f t="shared" si="1"/>
        <v>246366.33</v>
      </c>
      <c r="V5" s="31">
        <f t="shared" si="1"/>
        <v>212472.2</v>
      </c>
      <c r="W5" s="31">
        <f t="shared" si="1"/>
        <v>0</v>
      </c>
      <c r="X5" s="31">
        <f t="shared" si="1"/>
        <v>0</v>
      </c>
      <c r="Y5" s="31">
        <f t="shared" si="1"/>
        <v>0</v>
      </c>
      <c r="Z5" s="31">
        <f t="shared" si="1"/>
        <v>0</v>
      </c>
      <c r="AA5" s="31">
        <f t="shared" si="1"/>
        <v>0</v>
      </c>
      <c r="AB5" s="31">
        <f t="shared" si="1"/>
        <v>0</v>
      </c>
      <c r="AC5" s="31">
        <f>AC6+AC10+AC13+AC15+AC17</f>
        <v>507149.04</v>
      </c>
      <c r="AD5" s="31">
        <f>AD6+AD10+AD13+AD15+AD17</f>
        <v>948266.9600000001</v>
      </c>
      <c r="AE5" s="336">
        <f aca="true" t="shared" si="2" ref="AE5:AE68">AC5*100/P5</f>
        <v>34.84564138363189</v>
      </c>
    </row>
    <row r="6" spans="2:31" s="28" customFormat="1" ht="12.75">
      <c r="B6" s="33"/>
      <c r="C6" s="34" t="s">
        <v>996</v>
      </c>
      <c r="D6" s="35"/>
      <c r="E6" s="36" t="s">
        <v>997</v>
      </c>
      <c r="F6" s="63">
        <f>SUM(F7:F9)</f>
        <v>40000</v>
      </c>
      <c r="G6" s="37">
        <f>SUM(G7:G9)</f>
        <v>38000</v>
      </c>
      <c r="H6" s="38">
        <f>SUM(H7:H9)</f>
        <v>0</v>
      </c>
      <c r="I6" s="38">
        <f aca="true" t="shared" si="3" ref="I6:O6">SUM(I7:I9)</f>
        <v>0</v>
      </c>
      <c r="J6" s="38">
        <f t="shared" si="3"/>
        <v>12000</v>
      </c>
      <c r="K6" s="38">
        <f t="shared" si="3"/>
        <v>0</v>
      </c>
      <c r="L6" s="38">
        <f t="shared" si="3"/>
        <v>0</v>
      </c>
      <c r="M6" s="38">
        <f t="shared" si="3"/>
        <v>0</v>
      </c>
      <c r="N6" s="38">
        <f t="shared" si="3"/>
        <v>0</v>
      </c>
      <c r="O6" s="38">
        <f t="shared" si="3"/>
        <v>0</v>
      </c>
      <c r="P6" s="39">
        <f>SUM(P7:P9)</f>
        <v>50000</v>
      </c>
      <c r="Q6" s="37">
        <f>SUM(Q7:Q9)</f>
        <v>0</v>
      </c>
      <c r="R6" s="37">
        <f aca="true" t="shared" si="4" ref="R6:AB6">SUM(R7:R9)</f>
        <v>2070</v>
      </c>
      <c r="S6" s="37">
        <f t="shared" si="4"/>
        <v>5910</v>
      </c>
      <c r="T6" s="37">
        <f t="shared" si="4"/>
        <v>4937.71</v>
      </c>
      <c r="U6" s="37">
        <f t="shared" si="4"/>
        <v>2780</v>
      </c>
      <c r="V6" s="37">
        <f t="shared" si="4"/>
        <v>0</v>
      </c>
      <c r="W6" s="37">
        <f t="shared" si="4"/>
        <v>0</v>
      </c>
      <c r="X6" s="37">
        <f t="shared" si="4"/>
        <v>0</v>
      </c>
      <c r="Y6" s="37">
        <f t="shared" si="4"/>
        <v>0</v>
      </c>
      <c r="Z6" s="37">
        <f t="shared" si="4"/>
        <v>0</v>
      </c>
      <c r="AA6" s="37">
        <f t="shared" si="4"/>
        <v>0</v>
      </c>
      <c r="AB6" s="37">
        <f t="shared" si="4"/>
        <v>0</v>
      </c>
      <c r="AC6" s="37">
        <f>SUM(AC7:AC9)</f>
        <v>15697.710000000001</v>
      </c>
      <c r="AD6" s="37">
        <f>SUM(AD7:AD9)</f>
        <v>34302.29</v>
      </c>
      <c r="AE6" s="337">
        <f t="shared" si="2"/>
        <v>31.39542</v>
      </c>
    </row>
    <row r="7" spans="2:33" s="28" customFormat="1" ht="12.75">
      <c r="B7" s="33"/>
      <c r="C7" s="40"/>
      <c r="D7" s="41">
        <v>4210</v>
      </c>
      <c r="E7" s="42" t="s">
        <v>998</v>
      </c>
      <c r="F7" s="65">
        <v>5000</v>
      </c>
      <c r="G7" s="43">
        <v>3000</v>
      </c>
      <c r="H7" s="44"/>
      <c r="I7" s="44"/>
      <c r="J7" s="44"/>
      <c r="K7" s="44"/>
      <c r="L7" s="44"/>
      <c r="M7" s="44"/>
      <c r="N7" s="44"/>
      <c r="O7" s="44"/>
      <c r="P7" s="45">
        <f>G7+H7+I7+J7+K7+L7+M7+N7+O7</f>
        <v>3000</v>
      </c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6">
        <f>SUM(Q7:AB7)</f>
        <v>0</v>
      </c>
      <c r="AD7" s="43">
        <f>P7-AC7</f>
        <v>3000</v>
      </c>
      <c r="AE7" s="338">
        <f t="shared" si="2"/>
        <v>0</v>
      </c>
      <c r="AG7" s="47"/>
    </row>
    <row r="8" spans="2:33" s="28" customFormat="1" ht="12.75">
      <c r="B8" s="33"/>
      <c r="C8" s="40"/>
      <c r="D8" s="41">
        <v>4270</v>
      </c>
      <c r="E8" s="42" t="s">
        <v>999</v>
      </c>
      <c r="F8" s="65">
        <v>30000</v>
      </c>
      <c r="G8" s="43">
        <v>30000</v>
      </c>
      <c r="H8" s="44"/>
      <c r="I8" s="44"/>
      <c r="J8" s="44">
        <v>10000</v>
      </c>
      <c r="K8" s="44"/>
      <c r="L8" s="44"/>
      <c r="M8" s="44"/>
      <c r="N8" s="44"/>
      <c r="O8" s="44"/>
      <c r="P8" s="45">
        <f>G8+H8+I8+J8+K8+L8+M8+N8+O8</f>
        <v>40000</v>
      </c>
      <c r="Q8" s="43"/>
      <c r="R8" s="43">
        <v>2070</v>
      </c>
      <c r="S8" s="43">
        <v>5910</v>
      </c>
      <c r="T8" s="43">
        <v>3951.34</v>
      </c>
      <c r="U8" s="43">
        <v>2780</v>
      </c>
      <c r="V8" s="43"/>
      <c r="W8" s="43"/>
      <c r="X8" s="43"/>
      <c r="Y8" s="43"/>
      <c r="Z8" s="43"/>
      <c r="AA8" s="43"/>
      <c r="AB8" s="43"/>
      <c r="AC8" s="46">
        <f>SUM(Q8:AB8)</f>
        <v>14711.34</v>
      </c>
      <c r="AD8" s="43">
        <f>P8-AC8</f>
        <v>25288.66</v>
      </c>
      <c r="AE8" s="338">
        <f t="shared" si="2"/>
        <v>36.77835</v>
      </c>
      <c r="AG8" s="47"/>
    </row>
    <row r="9" spans="2:33" s="28" customFormat="1" ht="12.75">
      <c r="B9" s="33"/>
      <c r="C9" s="40"/>
      <c r="D9" s="41">
        <v>4300</v>
      </c>
      <c r="E9" s="42" t="s">
        <v>1000</v>
      </c>
      <c r="F9" s="65">
        <v>5000</v>
      </c>
      <c r="G9" s="43">
        <v>5000</v>
      </c>
      <c r="H9" s="44"/>
      <c r="I9" s="44"/>
      <c r="J9" s="44">
        <v>2000</v>
      </c>
      <c r="K9" s="44"/>
      <c r="L9" s="44"/>
      <c r="M9" s="44"/>
      <c r="N9" s="44"/>
      <c r="O9" s="44"/>
      <c r="P9" s="45">
        <f>G9+H9+I9+J9+K9+L9+M9+N9+O9</f>
        <v>7000</v>
      </c>
      <c r="Q9" s="43"/>
      <c r="R9" s="43"/>
      <c r="S9" s="43"/>
      <c r="T9" s="43">
        <v>986.37</v>
      </c>
      <c r="U9" s="43"/>
      <c r="V9" s="43"/>
      <c r="W9" s="43"/>
      <c r="X9" s="43"/>
      <c r="Y9" s="43"/>
      <c r="Z9" s="43"/>
      <c r="AA9" s="43"/>
      <c r="AB9" s="43"/>
      <c r="AC9" s="46">
        <f>SUM(Q9:AB9)</f>
        <v>986.37</v>
      </c>
      <c r="AD9" s="43">
        <f>P9-AC9</f>
        <v>6013.63</v>
      </c>
      <c r="AE9" s="338">
        <f t="shared" si="2"/>
        <v>14.091</v>
      </c>
      <c r="AG9" s="47"/>
    </row>
    <row r="10" spans="2:31" s="28" customFormat="1" ht="12.75">
      <c r="B10" s="33"/>
      <c r="C10" s="34" t="s">
        <v>157</v>
      </c>
      <c r="D10" s="35"/>
      <c r="E10" s="36" t="s">
        <v>158</v>
      </c>
      <c r="F10" s="63">
        <f>SUM(F11:F12)</f>
        <v>849800</v>
      </c>
      <c r="G10" s="37">
        <f>SUM(G11:G12)</f>
        <v>712300</v>
      </c>
      <c r="H10" s="38">
        <f>SUM(H11:H12)</f>
        <v>1385000</v>
      </c>
      <c r="I10" s="63">
        <f aca="true" t="shared" si="5" ref="I10:O10">SUM(I11:I12)</f>
        <v>-173500</v>
      </c>
      <c r="J10" s="63">
        <f t="shared" si="5"/>
        <v>-827600</v>
      </c>
      <c r="K10" s="38">
        <f t="shared" si="5"/>
        <v>0</v>
      </c>
      <c r="L10" s="38">
        <f t="shared" si="5"/>
        <v>0</v>
      </c>
      <c r="M10" s="38">
        <f t="shared" si="5"/>
        <v>0</v>
      </c>
      <c r="N10" s="38">
        <f t="shared" si="5"/>
        <v>0</v>
      </c>
      <c r="O10" s="38">
        <f t="shared" si="5"/>
        <v>0</v>
      </c>
      <c r="P10" s="39">
        <f>SUM(P11:P12)</f>
        <v>1096200</v>
      </c>
      <c r="Q10" s="37">
        <f>SUM(Q11:Q12)</f>
        <v>0</v>
      </c>
      <c r="R10" s="37">
        <f aca="true" t="shared" si="6" ref="R10:AB10">SUM(R11:R12)</f>
        <v>124.53</v>
      </c>
      <c r="S10" s="37">
        <f t="shared" si="6"/>
        <v>30523.09</v>
      </c>
      <c r="T10" s="63">
        <f t="shared" si="6"/>
        <v>-124.53</v>
      </c>
      <c r="U10" s="37">
        <f t="shared" si="6"/>
        <v>0</v>
      </c>
      <c r="V10" s="37">
        <f t="shared" si="6"/>
        <v>202806.55</v>
      </c>
      <c r="W10" s="37">
        <f t="shared" si="6"/>
        <v>0</v>
      </c>
      <c r="X10" s="37">
        <f t="shared" si="6"/>
        <v>0</v>
      </c>
      <c r="Y10" s="37">
        <f t="shared" si="6"/>
        <v>0</v>
      </c>
      <c r="Z10" s="37">
        <f t="shared" si="6"/>
        <v>0</v>
      </c>
      <c r="AA10" s="37">
        <f t="shared" si="6"/>
        <v>0</v>
      </c>
      <c r="AB10" s="37">
        <f t="shared" si="6"/>
        <v>0</v>
      </c>
      <c r="AC10" s="37">
        <f>SUM(AC11:AC12)</f>
        <v>233329.63999999998</v>
      </c>
      <c r="AD10" s="37">
        <f>SUM(AD11:AD12)</f>
        <v>862870.36</v>
      </c>
      <c r="AE10" s="337">
        <f t="shared" si="2"/>
        <v>21.28531654807517</v>
      </c>
    </row>
    <row r="11" spans="2:31" s="28" customFormat="1" ht="12.75">
      <c r="B11" s="33"/>
      <c r="C11" s="34"/>
      <c r="D11" s="41">
        <v>4300</v>
      </c>
      <c r="E11" s="42" t="s">
        <v>1000</v>
      </c>
      <c r="F11" s="65">
        <v>10000</v>
      </c>
      <c r="G11" s="43">
        <f>10000+30500</f>
        <v>40500</v>
      </c>
      <c r="H11" s="44"/>
      <c r="I11" s="65"/>
      <c r="J11" s="65"/>
      <c r="K11" s="44"/>
      <c r="L11" s="44"/>
      <c r="M11" s="44"/>
      <c r="N11" s="44"/>
      <c r="O11" s="44"/>
      <c r="P11" s="45">
        <f>G11+H11+I11+J11+K11+L11+M11+N11+O11</f>
        <v>40500</v>
      </c>
      <c r="Q11" s="43"/>
      <c r="R11" s="43"/>
      <c r="S11" s="43">
        <v>30500</v>
      </c>
      <c r="T11" s="65"/>
      <c r="U11" s="43"/>
      <c r="V11" s="43"/>
      <c r="W11" s="43"/>
      <c r="X11" s="43"/>
      <c r="Y11" s="43"/>
      <c r="Z11" s="43"/>
      <c r="AA11" s="43"/>
      <c r="AB11" s="43"/>
      <c r="AC11" s="46">
        <f>SUM(Q11:AB11)</f>
        <v>30500</v>
      </c>
      <c r="AD11" s="43">
        <f>P11-AC11</f>
        <v>10000</v>
      </c>
      <c r="AE11" s="338">
        <f>AC11*100/P11</f>
        <v>75.30864197530865</v>
      </c>
    </row>
    <row r="12" spans="2:32" s="28" customFormat="1" ht="25.5">
      <c r="B12" s="339"/>
      <c r="C12" s="40"/>
      <c r="D12" s="41">
        <v>6050</v>
      </c>
      <c r="E12" s="42" t="s">
        <v>1001</v>
      </c>
      <c r="F12" s="271">
        <f>30000+120000+20000+118000+80000+140000+100000+231800</f>
        <v>839800</v>
      </c>
      <c r="G12" s="46">
        <f>25000+15000+80000+90000+120000+231800+110000</f>
        <v>671800</v>
      </c>
      <c r="H12" s="48">
        <f>1355000+30000</f>
        <v>1385000</v>
      </c>
      <c r="I12" s="271">
        <v>-173500</v>
      </c>
      <c r="J12" s="271">
        <v>-827600</v>
      </c>
      <c r="K12" s="48"/>
      <c r="L12" s="48"/>
      <c r="M12" s="48"/>
      <c r="N12" s="48"/>
      <c r="O12" s="48"/>
      <c r="P12" s="45">
        <f>G12+H12+I12+J12+K12+L12+M12+N12+O12</f>
        <v>1055700</v>
      </c>
      <c r="Q12" s="46"/>
      <c r="R12" s="46">
        <v>124.53</v>
      </c>
      <c r="S12" s="46">
        <v>23.09</v>
      </c>
      <c r="T12" s="65">
        <v>-124.53</v>
      </c>
      <c r="U12" s="46"/>
      <c r="V12" s="46">
        <f>202674.3+132.25</f>
        <v>202806.55</v>
      </c>
      <c r="W12" s="46"/>
      <c r="X12" s="46"/>
      <c r="Y12" s="46"/>
      <c r="Z12" s="46"/>
      <c r="AA12" s="46"/>
      <c r="AB12" s="46"/>
      <c r="AC12" s="46">
        <f>SUM(Q12:AB12)</f>
        <v>202829.63999999998</v>
      </c>
      <c r="AD12" s="43">
        <f>P12-AC12</f>
        <v>852870.36</v>
      </c>
      <c r="AE12" s="338">
        <f t="shared" si="2"/>
        <v>19.21281045751634</v>
      </c>
      <c r="AF12" s="47"/>
    </row>
    <row r="13" spans="2:31" s="28" customFormat="1" ht="63.75">
      <c r="B13" s="33"/>
      <c r="C13" s="34" t="s">
        <v>1002</v>
      </c>
      <c r="D13" s="35"/>
      <c r="E13" s="36" t="s">
        <v>1003</v>
      </c>
      <c r="F13" s="63">
        <f>SUM(F14:F14)</f>
        <v>10000</v>
      </c>
      <c r="G13" s="37">
        <f>SUM(G14:G14)</f>
        <v>7500</v>
      </c>
      <c r="H13" s="38">
        <f>SUM(H14:H14)</f>
        <v>0</v>
      </c>
      <c r="I13" s="38">
        <f aca="true" t="shared" si="7" ref="I13:O13">SUM(I14:I14)</f>
        <v>0</v>
      </c>
      <c r="J13" s="38">
        <f t="shared" si="7"/>
        <v>0</v>
      </c>
      <c r="K13" s="38">
        <f t="shared" si="7"/>
        <v>0</v>
      </c>
      <c r="L13" s="38">
        <f t="shared" si="7"/>
        <v>0</v>
      </c>
      <c r="M13" s="38">
        <f t="shared" si="7"/>
        <v>0</v>
      </c>
      <c r="N13" s="38">
        <f t="shared" si="7"/>
        <v>0</v>
      </c>
      <c r="O13" s="38">
        <f t="shared" si="7"/>
        <v>0</v>
      </c>
      <c r="P13" s="39">
        <f>SUM(P14:P14)</f>
        <v>7500</v>
      </c>
      <c r="Q13" s="37">
        <f>SUM(Q14:Q14)</f>
        <v>0</v>
      </c>
      <c r="R13" s="37">
        <f aca="true" t="shared" si="8" ref="R13:AB13">SUM(R14:R14)</f>
        <v>0</v>
      </c>
      <c r="S13" s="37">
        <f t="shared" si="8"/>
        <v>83.02</v>
      </c>
      <c r="T13" s="37">
        <f t="shared" si="8"/>
        <v>160.5</v>
      </c>
      <c r="U13" s="37">
        <f t="shared" si="8"/>
        <v>160.5</v>
      </c>
      <c r="V13" s="37">
        <f t="shared" si="8"/>
        <v>160.5</v>
      </c>
      <c r="W13" s="37">
        <f t="shared" si="8"/>
        <v>0</v>
      </c>
      <c r="X13" s="37">
        <f t="shared" si="8"/>
        <v>0</v>
      </c>
      <c r="Y13" s="37">
        <f t="shared" si="8"/>
        <v>0</v>
      </c>
      <c r="Z13" s="37">
        <f t="shared" si="8"/>
        <v>0</v>
      </c>
      <c r="AA13" s="37">
        <f t="shared" si="8"/>
        <v>0</v>
      </c>
      <c r="AB13" s="37">
        <f t="shared" si="8"/>
        <v>0</v>
      </c>
      <c r="AC13" s="37">
        <f>SUM(AC14:AC14)</f>
        <v>564.52</v>
      </c>
      <c r="AD13" s="37">
        <f>SUM(AD14:AD14)</f>
        <v>6935.48</v>
      </c>
      <c r="AE13" s="337">
        <f t="shared" si="2"/>
        <v>7.526933333333333</v>
      </c>
    </row>
    <row r="14" spans="2:31" s="28" customFormat="1" ht="12.75">
      <c r="B14" s="33"/>
      <c r="C14" s="41"/>
      <c r="D14" s="41">
        <v>4300</v>
      </c>
      <c r="E14" s="42" t="s">
        <v>1000</v>
      </c>
      <c r="F14" s="65">
        <v>10000</v>
      </c>
      <c r="G14" s="43">
        <v>7500</v>
      </c>
      <c r="H14" s="44"/>
      <c r="I14" s="44"/>
      <c r="J14" s="44"/>
      <c r="K14" s="44"/>
      <c r="L14" s="44"/>
      <c r="M14" s="44"/>
      <c r="N14" s="44"/>
      <c r="O14" s="44"/>
      <c r="P14" s="45">
        <f>G14+H14+I14+J14+K14+L14+M14+N14+O14</f>
        <v>7500</v>
      </c>
      <c r="Q14" s="43"/>
      <c r="R14" s="43"/>
      <c r="S14" s="43">
        <v>83.02</v>
      </c>
      <c r="T14" s="43">
        <v>160.5</v>
      </c>
      <c r="U14" s="43">
        <v>160.5</v>
      </c>
      <c r="V14" s="43">
        <v>160.5</v>
      </c>
      <c r="W14" s="43"/>
      <c r="X14" s="43"/>
      <c r="Y14" s="43"/>
      <c r="Z14" s="43"/>
      <c r="AA14" s="43"/>
      <c r="AB14" s="43"/>
      <c r="AC14" s="46">
        <f>SUM(Q14:AB14)</f>
        <v>564.52</v>
      </c>
      <c r="AD14" s="43">
        <f>P14-AC14</f>
        <v>6935.48</v>
      </c>
      <c r="AE14" s="338">
        <f t="shared" si="2"/>
        <v>7.526933333333333</v>
      </c>
    </row>
    <row r="15" spans="2:31" s="28" customFormat="1" ht="12.75">
      <c r="B15" s="33"/>
      <c r="C15" s="34" t="s">
        <v>1004</v>
      </c>
      <c r="D15" s="41"/>
      <c r="E15" s="36" t="s">
        <v>1005</v>
      </c>
      <c r="F15" s="63">
        <f aca="true" t="shared" si="9" ref="F15:AD15">SUM(F16)</f>
        <v>17000</v>
      </c>
      <c r="G15" s="37">
        <f t="shared" si="9"/>
        <v>20000</v>
      </c>
      <c r="H15" s="38">
        <f t="shared" si="9"/>
        <v>0</v>
      </c>
      <c r="I15" s="38">
        <f t="shared" si="9"/>
        <v>0</v>
      </c>
      <c r="J15" s="38">
        <f t="shared" si="9"/>
        <v>0</v>
      </c>
      <c r="K15" s="38">
        <f t="shared" si="9"/>
        <v>0</v>
      </c>
      <c r="L15" s="38">
        <f t="shared" si="9"/>
        <v>0</v>
      </c>
      <c r="M15" s="38">
        <f t="shared" si="9"/>
        <v>0</v>
      </c>
      <c r="N15" s="38">
        <f t="shared" si="9"/>
        <v>0</v>
      </c>
      <c r="O15" s="38">
        <f t="shared" si="9"/>
        <v>0</v>
      </c>
      <c r="P15" s="39">
        <f>SUM(P16)</f>
        <v>20000</v>
      </c>
      <c r="Q15" s="37">
        <f t="shared" si="9"/>
        <v>0</v>
      </c>
      <c r="R15" s="37">
        <f t="shared" si="9"/>
        <v>0</v>
      </c>
      <c r="S15" s="37">
        <f t="shared" si="9"/>
        <v>637.49</v>
      </c>
      <c r="T15" s="37">
        <f t="shared" si="9"/>
        <v>3988.7</v>
      </c>
      <c r="U15" s="37">
        <f t="shared" si="9"/>
        <v>292.33</v>
      </c>
      <c r="V15" s="37">
        <f t="shared" si="9"/>
        <v>4703.17</v>
      </c>
      <c r="W15" s="37">
        <f t="shared" si="9"/>
        <v>0</v>
      </c>
      <c r="X15" s="37">
        <f t="shared" si="9"/>
        <v>0</v>
      </c>
      <c r="Y15" s="37">
        <f t="shared" si="9"/>
        <v>0</v>
      </c>
      <c r="Z15" s="37">
        <f t="shared" si="9"/>
        <v>0</v>
      </c>
      <c r="AA15" s="37">
        <f t="shared" si="9"/>
        <v>0</v>
      </c>
      <c r="AB15" s="37">
        <f t="shared" si="9"/>
        <v>0</v>
      </c>
      <c r="AC15" s="37">
        <f t="shared" si="9"/>
        <v>9621.689999999999</v>
      </c>
      <c r="AD15" s="37">
        <f t="shared" si="9"/>
        <v>10378.310000000001</v>
      </c>
      <c r="AE15" s="337">
        <f t="shared" si="2"/>
        <v>48.10845</v>
      </c>
    </row>
    <row r="16" spans="2:31" s="28" customFormat="1" ht="38.25">
      <c r="B16" s="33"/>
      <c r="C16" s="41"/>
      <c r="D16" s="41">
        <v>2850</v>
      </c>
      <c r="E16" s="42" t="s">
        <v>1006</v>
      </c>
      <c r="F16" s="65">
        <v>17000</v>
      </c>
      <c r="G16" s="43">
        <f>18500+1500</f>
        <v>20000</v>
      </c>
      <c r="H16" s="44"/>
      <c r="I16" s="44"/>
      <c r="J16" s="44"/>
      <c r="K16" s="44"/>
      <c r="L16" s="44"/>
      <c r="M16" s="44"/>
      <c r="N16" s="44"/>
      <c r="O16" s="44"/>
      <c r="P16" s="45">
        <f>G16+H16+I16+J16+K16+L16+M16+N16+O16</f>
        <v>20000</v>
      </c>
      <c r="Q16" s="43"/>
      <c r="R16" s="43"/>
      <c r="S16" s="43">
        <v>637.49</v>
      </c>
      <c r="T16" s="43">
        <v>3988.7</v>
      </c>
      <c r="U16" s="43">
        <v>292.33</v>
      </c>
      <c r="V16" s="43">
        <v>4703.17</v>
      </c>
      <c r="W16" s="43"/>
      <c r="X16" s="43"/>
      <c r="Y16" s="43"/>
      <c r="Z16" s="43"/>
      <c r="AA16" s="43"/>
      <c r="AB16" s="43"/>
      <c r="AC16" s="46">
        <f>SUM(Q16:AB16)</f>
        <v>9621.689999999999</v>
      </c>
      <c r="AD16" s="43">
        <f>P16-AC16</f>
        <v>10378.310000000001</v>
      </c>
      <c r="AE16" s="338">
        <f t="shared" si="2"/>
        <v>48.10845</v>
      </c>
    </row>
    <row r="17" spans="2:31" s="28" customFormat="1" ht="12.75">
      <c r="B17" s="33"/>
      <c r="C17" s="34" t="s">
        <v>161</v>
      </c>
      <c r="D17" s="35"/>
      <c r="E17" s="36" t="s">
        <v>162</v>
      </c>
      <c r="F17" s="63">
        <f>SUM(F18:F20)</f>
        <v>55000</v>
      </c>
      <c r="G17" s="37">
        <f>SUM(G18:G20)</f>
        <v>33500</v>
      </c>
      <c r="H17" s="38">
        <f>SUM(H18:H20)</f>
        <v>0</v>
      </c>
      <c r="I17" s="38">
        <f aca="true" t="shared" si="10" ref="I17:O17">SUM(I18:I20)</f>
        <v>0</v>
      </c>
      <c r="J17" s="38">
        <f>SUM(J18:J20)</f>
        <v>248216</v>
      </c>
      <c r="K17" s="38">
        <f t="shared" si="10"/>
        <v>0</v>
      </c>
      <c r="L17" s="38">
        <f t="shared" si="10"/>
        <v>0</v>
      </c>
      <c r="M17" s="38">
        <f t="shared" si="10"/>
        <v>0</v>
      </c>
      <c r="N17" s="38">
        <f t="shared" si="10"/>
        <v>0</v>
      </c>
      <c r="O17" s="38">
        <f t="shared" si="10"/>
        <v>0</v>
      </c>
      <c r="P17" s="39">
        <f>P19+P18+P20</f>
        <v>281716</v>
      </c>
      <c r="Q17" s="37">
        <f>SUM(Q18:Q20)</f>
        <v>0</v>
      </c>
      <c r="R17" s="37">
        <f aca="true" t="shared" si="11" ref="R17:AB17">SUM(R18:R20)</f>
        <v>0</v>
      </c>
      <c r="S17" s="37">
        <f t="shared" si="11"/>
        <v>0</v>
      </c>
      <c r="T17" s="37">
        <f t="shared" si="11"/>
        <v>0</v>
      </c>
      <c r="U17" s="37">
        <f t="shared" si="11"/>
        <v>243133.5</v>
      </c>
      <c r="V17" s="37">
        <f t="shared" si="11"/>
        <v>4801.98</v>
      </c>
      <c r="W17" s="37">
        <f t="shared" si="11"/>
        <v>0</v>
      </c>
      <c r="X17" s="37">
        <f t="shared" si="11"/>
        <v>0</v>
      </c>
      <c r="Y17" s="37">
        <f t="shared" si="11"/>
        <v>0</v>
      </c>
      <c r="Z17" s="37">
        <f t="shared" si="11"/>
        <v>0</v>
      </c>
      <c r="AA17" s="37">
        <f t="shared" si="11"/>
        <v>0</v>
      </c>
      <c r="AB17" s="37">
        <f t="shared" si="11"/>
        <v>0</v>
      </c>
      <c r="AC17" s="37">
        <f>AC19+AC18+AC20</f>
        <v>247935.48</v>
      </c>
      <c r="AD17" s="37">
        <f>AD19+AD18+AD20</f>
        <v>33780.520000000004</v>
      </c>
      <c r="AE17" s="337">
        <f t="shared" si="2"/>
        <v>88.00901617231538</v>
      </c>
    </row>
    <row r="18" spans="2:31" s="28" customFormat="1" ht="12.75">
      <c r="B18" s="33"/>
      <c r="C18" s="34"/>
      <c r="D18" s="41">
        <v>4210</v>
      </c>
      <c r="E18" s="42" t="s">
        <v>998</v>
      </c>
      <c r="F18" s="65">
        <v>10000</v>
      </c>
      <c r="G18" s="43">
        <v>10000</v>
      </c>
      <c r="H18" s="44"/>
      <c r="I18" s="44"/>
      <c r="J18" s="44">
        <v>1867</v>
      </c>
      <c r="K18" s="44"/>
      <c r="L18" s="44"/>
      <c r="M18" s="44"/>
      <c r="N18" s="44"/>
      <c r="O18" s="44"/>
      <c r="P18" s="45">
        <f>G18+H18+I18+J18+K18+L18+M18+N18+O18</f>
        <v>11867</v>
      </c>
      <c r="Q18" s="43"/>
      <c r="R18" s="43"/>
      <c r="S18" s="43"/>
      <c r="T18" s="43"/>
      <c r="U18" s="43"/>
      <c r="V18" s="43">
        <v>1861.48</v>
      </c>
      <c r="W18" s="43"/>
      <c r="X18" s="43"/>
      <c r="Y18" s="43"/>
      <c r="Z18" s="43"/>
      <c r="AA18" s="43"/>
      <c r="AB18" s="43"/>
      <c r="AC18" s="46">
        <f>SUM(Q18:AB18)</f>
        <v>1861.48</v>
      </c>
      <c r="AD18" s="43">
        <f>P18-AC18</f>
        <v>10005.52</v>
      </c>
      <c r="AE18" s="338">
        <f t="shared" si="2"/>
        <v>15.68618859020814</v>
      </c>
    </row>
    <row r="19" spans="2:31" s="28" customFormat="1" ht="12.75">
      <c r="B19" s="33"/>
      <c r="C19" s="41"/>
      <c r="D19" s="41">
        <v>4300</v>
      </c>
      <c r="E19" s="42" t="s">
        <v>1000</v>
      </c>
      <c r="F19" s="65">
        <v>45000</v>
      </c>
      <c r="G19" s="43">
        <f>25000-1500</f>
        <v>23500</v>
      </c>
      <c r="H19" s="44"/>
      <c r="I19" s="44"/>
      <c r="J19" s="44">
        <v>3000</v>
      </c>
      <c r="K19" s="44"/>
      <c r="L19" s="44"/>
      <c r="M19" s="44"/>
      <c r="N19" s="44"/>
      <c r="O19" s="44"/>
      <c r="P19" s="45">
        <f>G19+H19+I19+J19+K19+L19+M19+N19+O19</f>
        <v>26500</v>
      </c>
      <c r="Q19" s="43"/>
      <c r="R19" s="43"/>
      <c r="S19" s="43"/>
      <c r="T19" s="43"/>
      <c r="U19" s="43">
        <v>59.5</v>
      </c>
      <c r="V19" s="43">
        <v>2940.5</v>
      </c>
      <c r="W19" s="43"/>
      <c r="X19" s="43"/>
      <c r="Y19" s="43"/>
      <c r="Z19" s="43"/>
      <c r="AA19" s="43"/>
      <c r="AB19" s="43"/>
      <c r="AC19" s="46">
        <f>SUM(Q19:AB19)</f>
        <v>3000</v>
      </c>
      <c r="AD19" s="43">
        <f>P19-AC19</f>
        <v>23500</v>
      </c>
      <c r="AE19" s="338">
        <f t="shared" si="2"/>
        <v>11.320754716981131</v>
      </c>
    </row>
    <row r="20" spans="2:31" s="28" customFormat="1" ht="12.75">
      <c r="B20" s="33"/>
      <c r="C20" s="41"/>
      <c r="D20" s="49">
        <v>4430</v>
      </c>
      <c r="E20" s="50" t="s">
        <v>1007</v>
      </c>
      <c r="F20" s="65"/>
      <c r="G20" s="43"/>
      <c r="H20" s="44"/>
      <c r="I20" s="44"/>
      <c r="J20" s="44">
        <v>243349</v>
      </c>
      <c r="K20" s="44"/>
      <c r="L20" s="44"/>
      <c r="M20" s="44"/>
      <c r="N20" s="44"/>
      <c r="O20" s="44"/>
      <c r="P20" s="45">
        <f>G20+H20+I20+J20+K20+L20+M20+N20+O20</f>
        <v>243349</v>
      </c>
      <c r="Q20" s="43"/>
      <c r="R20" s="43"/>
      <c r="S20" s="43"/>
      <c r="T20" s="43"/>
      <c r="U20" s="43">
        <v>243074</v>
      </c>
      <c r="V20" s="43"/>
      <c r="W20" s="43"/>
      <c r="X20" s="43"/>
      <c r="Y20" s="43"/>
      <c r="Z20" s="43"/>
      <c r="AA20" s="43"/>
      <c r="AB20" s="43"/>
      <c r="AC20" s="46">
        <f>SUM(Q20:AB20)</f>
        <v>243074</v>
      </c>
      <c r="AD20" s="43">
        <f>P20-AC20</f>
        <v>275</v>
      </c>
      <c r="AE20" s="338">
        <f>AC20*100/P20</f>
        <v>99.88699357712585</v>
      </c>
    </row>
    <row r="21" spans="2:31" s="28" customFormat="1" ht="12.75">
      <c r="B21" s="334" t="s">
        <v>166</v>
      </c>
      <c r="C21" s="29"/>
      <c r="D21" s="29"/>
      <c r="E21" s="30" t="s">
        <v>167</v>
      </c>
      <c r="F21" s="62">
        <f>F22</f>
        <v>4000</v>
      </c>
      <c r="G21" s="51">
        <f>G22</f>
        <v>4000</v>
      </c>
      <c r="H21" s="52">
        <f>H22</f>
        <v>0</v>
      </c>
      <c r="I21" s="52">
        <f aca="true" t="shared" si="12" ref="I21:O21">I22</f>
        <v>5000</v>
      </c>
      <c r="J21" s="52">
        <f t="shared" si="12"/>
        <v>0</v>
      </c>
      <c r="K21" s="52">
        <f t="shared" si="12"/>
        <v>0</v>
      </c>
      <c r="L21" s="52">
        <f t="shared" si="12"/>
        <v>0</v>
      </c>
      <c r="M21" s="52">
        <f t="shared" si="12"/>
        <v>0</v>
      </c>
      <c r="N21" s="52">
        <f t="shared" si="12"/>
        <v>0</v>
      </c>
      <c r="O21" s="52">
        <f t="shared" si="12"/>
        <v>0</v>
      </c>
      <c r="P21" s="51">
        <f>P22</f>
        <v>9000</v>
      </c>
      <c r="Q21" s="51">
        <f>Q22</f>
        <v>0</v>
      </c>
      <c r="R21" s="51">
        <f aca="true" t="shared" si="13" ref="R21:AB21">R22</f>
        <v>0</v>
      </c>
      <c r="S21" s="51">
        <f t="shared" si="13"/>
        <v>1708</v>
      </c>
      <c r="T21" s="51">
        <f t="shared" si="13"/>
        <v>0</v>
      </c>
      <c r="U21" s="51">
        <f t="shared" si="13"/>
        <v>1000.06</v>
      </c>
      <c r="V21" s="51">
        <f t="shared" si="13"/>
        <v>0</v>
      </c>
      <c r="W21" s="51">
        <f t="shared" si="13"/>
        <v>0</v>
      </c>
      <c r="X21" s="51">
        <f t="shared" si="13"/>
        <v>0</v>
      </c>
      <c r="Y21" s="51">
        <f t="shared" si="13"/>
        <v>0</v>
      </c>
      <c r="Z21" s="51">
        <f t="shared" si="13"/>
        <v>0</v>
      </c>
      <c r="AA21" s="51">
        <f t="shared" si="13"/>
        <v>0</v>
      </c>
      <c r="AB21" s="51">
        <f t="shared" si="13"/>
        <v>0</v>
      </c>
      <c r="AC21" s="51">
        <f>AC22</f>
        <v>2708.06</v>
      </c>
      <c r="AD21" s="51">
        <f>AD22</f>
        <v>6291.9400000000005</v>
      </c>
      <c r="AE21" s="336">
        <f t="shared" si="2"/>
        <v>30.089555555555556</v>
      </c>
    </row>
    <row r="22" spans="2:31" s="28" customFormat="1" ht="12.75">
      <c r="B22" s="33"/>
      <c r="C22" s="34" t="s">
        <v>168</v>
      </c>
      <c r="D22" s="35"/>
      <c r="E22" s="36" t="s">
        <v>162</v>
      </c>
      <c r="F22" s="63">
        <f>SUM(F23:F24)</f>
        <v>4000</v>
      </c>
      <c r="G22" s="37">
        <f>SUM(G23:G24)</f>
        <v>4000</v>
      </c>
      <c r="H22" s="38">
        <f>SUM(H23:H24)</f>
        <v>0</v>
      </c>
      <c r="I22" s="38">
        <f aca="true" t="shared" si="14" ref="I22:O22">SUM(I23:I24)</f>
        <v>5000</v>
      </c>
      <c r="J22" s="38">
        <f t="shared" si="14"/>
        <v>0</v>
      </c>
      <c r="K22" s="38">
        <f t="shared" si="14"/>
        <v>0</v>
      </c>
      <c r="L22" s="38">
        <f t="shared" si="14"/>
        <v>0</v>
      </c>
      <c r="M22" s="38">
        <f t="shared" si="14"/>
        <v>0</v>
      </c>
      <c r="N22" s="38">
        <f t="shared" si="14"/>
        <v>0</v>
      </c>
      <c r="O22" s="38">
        <f t="shared" si="14"/>
        <v>0</v>
      </c>
      <c r="P22" s="39">
        <f>P23+P24</f>
        <v>9000</v>
      </c>
      <c r="Q22" s="37">
        <f>SUM(Q23:Q24)</f>
        <v>0</v>
      </c>
      <c r="R22" s="37">
        <f aca="true" t="shared" si="15" ref="R22:AB22">SUM(R23:R24)</f>
        <v>0</v>
      </c>
      <c r="S22" s="37">
        <f t="shared" si="15"/>
        <v>1708</v>
      </c>
      <c r="T22" s="37">
        <f t="shared" si="15"/>
        <v>0</v>
      </c>
      <c r="U22" s="37">
        <f t="shared" si="15"/>
        <v>1000.06</v>
      </c>
      <c r="V22" s="37">
        <f t="shared" si="15"/>
        <v>0</v>
      </c>
      <c r="W22" s="37">
        <f t="shared" si="15"/>
        <v>0</v>
      </c>
      <c r="X22" s="37">
        <f t="shared" si="15"/>
        <v>0</v>
      </c>
      <c r="Y22" s="37">
        <f t="shared" si="15"/>
        <v>0</v>
      </c>
      <c r="Z22" s="37">
        <f t="shared" si="15"/>
        <v>0</v>
      </c>
      <c r="AA22" s="37">
        <f t="shared" si="15"/>
        <v>0</v>
      </c>
      <c r="AB22" s="37">
        <f t="shared" si="15"/>
        <v>0</v>
      </c>
      <c r="AC22" s="37">
        <f>SUM(AC23:AC24)</f>
        <v>2708.06</v>
      </c>
      <c r="AD22" s="37">
        <f>SUM(AD23:AD24)</f>
        <v>6291.9400000000005</v>
      </c>
      <c r="AE22" s="337">
        <f t="shared" si="2"/>
        <v>30.089555555555556</v>
      </c>
    </row>
    <row r="23" spans="2:31" s="28" customFormat="1" ht="12.75">
      <c r="B23" s="33"/>
      <c r="C23" s="40"/>
      <c r="D23" s="41">
        <v>4210</v>
      </c>
      <c r="E23" s="42" t="s">
        <v>998</v>
      </c>
      <c r="F23" s="65">
        <v>1500</v>
      </c>
      <c r="G23" s="43">
        <v>1500</v>
      </c>
      <c r="H23" s="44"/>
      <c r="I23" s="44"/>
      <c r="J23" s="44"/>
      <c r="K23" s="44"/>
      <c r="L23" s="44"/>
      <c r="M23" s="44"/>
      <c r="N23" s="44"/>
      <c r="O23" s="44"/>
      <c r="P23" s="45">
        <f>G23+H23+I23+J23+K23+L23+M23+N23+O23</f>
        <v>1500</v>
      </c>
      <c r="Q23" s="43"/>
      <c r="R23" s="43"/>
      <c r="S23" s="43"/>
      <c r="T23" s="43"/>
      <c r="U23" s="43">
        <v>1000.06</v>
      </c>
      <c r="V23" s="43"/>
      <c r="W23" s="43"/>
      <c r="X23" s="43"/>
      <c r="Y23" s="43"/>
      <c r="Z23" s="43"/>
      <c r="AA23" s="43"/>
      <c r="AB23" s="43"/>
      <c r="AC23" s="46">
        <f>SUM(Q23:AB23)</f>
        <v>1000.06</v>
      </c>
      <c r="AD23" s="43">
        <f>P23-AC23</f>
        <v>499.94000000000005</v>
      </c>
      <c r="AE23" s="338">
        <f t="shared" si="2"/>
        <v>66.67066666666666</v>
      </c>
    </row>
    <row r="24" spans="2:31" s="28" customFormat="1" ht="12.75">
      <c r="B24" s="33"/>
      <c r="C24" s="40"/>
      <c r="D24" s="41">
        <v>4300</v>
      </c>
      <c r="E24" s="42" t="s">
        <v>1000</v>
      </c>
      <c r="F24" s="65">
        <v>2500</v>
      </c>
      <c r="G24" s="43">
        <v>2500</v>
      </c>
      <c r="H24" s="44"/>
      <c r="I24" s="44">
        <v>5000</v>
      </c>
      <c r="J24" s="44"/>
      <c r="K24" s="44"/>
      <c r="L24" s="44"/>
      <c r="M24" s="44"/>
      <c r="N24" s="44"/>
      <c r="O24" s="44"/>
      <c r="P24" s="45">
        <f>G24+H24+I24+J24+K24+L24+M24+N24+O24</f>
        <v>7500</v>
      </c>
      <c r="Q24" s="43"/>
      <c r="R24" s="43"/>
      <c r="S24" s="43">
        <v>1708</v>
      </c>
      <c r="T24" s="43"/>
      <c r="U24" s="43"/>
      <c r="V24" s="43"/>
      <c r="W24" s="43"/>
      <c r="X24" s="43"/>
      <c r="Y24" s="43"/>
      <c r="Z24" s="43"/>
      <c r="AA24" s="43"/>
      <c r="AB24" s="43"/>
      <c r="AC24" s="46">
        <f>SUM(Q24:AB24)</f>
        <v>1708</v>
      </c>
      <c r="AD24" s="43">
        <f>P24-AC24</f>
        <v>5792</v>
      </c>
      <c r="AE24" s="338">
        <f t="shared" si="2"/>
        <v>22.773333333333333</v>
      </c>
    </row>
    <row r="25" spans="2:31" s="28" customFormat="1" ht="12.75">
      <c r="B25" s="53">
        <v>600</v>
      </c>
      <c r="C25" s="54"/>
      <c r="D25" s="54"/>
      <c r="E25" s="55" t="s">
        <v>169</v>
      </c>
      <c r="F25" s="62">
        <f>F29+F26</f>
        <v>650000</v>
      </c>
      <c r="G25" s="51">
        <f>G29+G26</f>
        <v>340000</v>
      </c>
      <c r="H25" s="52">
        <f>H29+H26</f>
        <v>484000</v>
      </c>
      <c r="I25" s="52">
        <f aca="true" t="shared" si="16" ref="I25:O25">I29+I26</f>
        <v>0</v>
      </c>
      <c r="J25" s="52">
        <f t="shared" si="16"/>
        <v>372990</v>
      </c>
      <c r="K25" s="52">
        <f t="shared" si="16"/>
        <v>0</v>
      </c>
      <c r="L25" s="52">
        <f t="shared" si="16"/>
        <v>0</v>
      </c>
      <c r="M25" s="52">
        <f t="shared" si="16"/>
        <v>0</v>
      </c>
      <c r="N25" s="52">
        <f t="shared" si="16"/>
        <v>0</v>
      </c>
      <c r="O25" s="52">
        <f t="shared" si="16"/>
        <v>0</v>
      </c>
      <c r="P25" s="51">
        <f>P29+P26</f>
        <v>1196990</v>
      </c>
      <c r="Q25" s="51">
        <f>Q29+Q26</f>
        <v>0</v>
      </c>
      <c r="R25" s="51">
        <f aca="true" t="shared" si="17" ref="R25:AB25">R29+R26</f>
        <v>0</v>
      </c>
      <c r="S25" s="51">
        <f t="shared" si="17"/>
        <v>0</v>
      </c>
      <c r="T25" s="51">
        <f t="shared" si="17"/>
        <v>0</v>
      </c>
      <c r="U25" s="51">
        <f t="shared" si="17"/>
        <v>0</v>
      </c>
      <c r="V25" s="51">
        <f t="shared" si="17"/>
        <v>124530</v>
      </c>
      <c r="W25" s="51">
        <f t="shared" si="17"/>
        <v>0</v>
      </c>
      <c r="X25" s="51">
        <f t="shared" si="17"/>
        <v>0</v>
      </c>
      <c r="Y25" s="51">
        <f t="shared" si="17"/>
        <v>0</v>
      </c>
      <c r="Z25" s="51">
        <f t="shared" si="17"/>
        <v>0</v>
      </c>
      <c r="AA25" s="51">
        <f t="shared" si="17"/>
        <v>0</v>
      </c>
      <c r="AB25" s="51">
        <f t="shared" si="17"/>
        <v>0</v>
      </c>
      <c r="AC25" s="51">
        <f>AC29+AC26</f>
        <v>124530</v>
      </c>
      <c r="AD25" s="51">
        <f>AD29+AD26</f>
        <v>1072460</v>
      </c>
      <c r="AE25" s="336">
        <f t="shared" si="2"/>
        <v>10.403595685845328</v>
      </c>
    </row>
    <row r="26" spans="2:31" s="56" customFormat="1" ht="12.75">
      <c r="B26" s="340"/>
      <c r="C26" s="35">
        <v>60014</v>
      </c>
      <c r="D26" s="35"/>
      <c r="E26" s="36" t="s">
        <v>170</v>
      </c>
      <c r="F26" s="73">
        <f>SUM(F27:F28)</f>
        <v>230000</v>
      </c>
      <c r="G26" s="57">
        <f>SUM(G27:G28)</f>
        <v>230000</v>
      </c>
      <c r="H26" s="58">
        <f>SUM(H27:H28)</f>
        <v>0</v>
      </c>
      <c r="I26" s="58">
        <f aca="true" t="shared" si="18" ref="I26:O26">SUM(I27:I28)</f>
        <v>0</v>
      </c>
      <c r="J26" s="58">
        <f t="shared" si="18"/>
        <v>2990</v>
      </c>
      <c r="K26" s="58">
        <f t="shared" si="18"/>
        <v>0</v>
      </c>
      <c r="L26" s="58">
        <f t="shared" si="18"/>
        <v>0</v>
      </c>
      <c r="M26" s="58">
        <f t="shared" si="18"/>
        <v>0</v>
      </c>
      <c r="N26" s="58">
        <f t="shared" si="18"/>
        <v>0</v>
      </c>
      <c r="O26" s="58">
        <f t="shared" si="18"/>
        <v>0</v>
      </c>
      <c r="P26" s="39">
        <f>SUM(P27:P28)</f>
        <v>232990</v>
      </c>
      <c r="Q26" s="57">
        <f>SUM(Q27:Q28)</f>
        <v>0</v>
      </c>
      <c r="R26" s="57">
        <f aca="true" t="shared" si="19" ref="R26:AB26">SUM(R27:R28)</f>
        <v>0</v>
      </c>
      <c r="S26" s="57">
        <f t="shared" si="19"/>
        <v>0</v>
      </c>
      <c r="T26" s="57">
        <f t="shared" si="19"/>
        <v>0</v>
      </c>
      <c r="U26" s="57">
        <f t="shared" si="19"/>
        <v>0</v>
      </c>
      <c r="V26" s="57">
        <f t="shared" si="19"/>
        <v>97690</v>
      </c>
      <c r="W26" s="57">
        <f t="shared" si="19"/>
        <v>0</v>
      </c>
      <c r="X26" s="57">
        <f t="shared" si="19"/>
        <v>0</v>
      </c>
      <c r="Y26" s="57">
        <f t="shared" si="19"/>
        <v>0</v>
      </c>
      <c r="Z26" s="57">
        <f t="shared" si="19"/>
        <v>0</v>
      </c>
      <c r="AA26" s="57">
        <f t="shared" si="19"/>
        <v>0</v>
      </c>
      <c r="AB26" s="57">
        <f t="shared" si="19"/>
        <v>0</v>
      </c>
      <c r="AC26" s="57">
        <f>SUM(AC27:AC28)</f>
        <v>97690</v>
      </c>
      <c r="AD26" s="57">
        <f>SUM(AD27:AD28)</f>
        <v>135300</v>
      </c>
      <c r="AE26" s="337">
        <f t="shared" si="2"/>
        <v>41.92883814755998</v>
      </c>
    </row>
    <row r="27" spans="2:31" s="56" customFormat="1" ht="51">
      <c r="B27" s="340"/>
      <c r="C27" s="35"/>
      <c r="D27" s="72">
        <v>2710</v>
      </c>
      <c r="E27" s="378" t="s">
        <v>1008</v>
      </c>
      <c r="F27" s="61"/>
      <c r="G27" s="59"/>
      <c r="H27" s="60">
        <v>112000</v>
      </c>
      <c r="I27" s="60"/>
      <c r="J27" s="60">
        <f>17300-14310</f>
        <v>2990</v>
      </c>
      <c r="K27" s="60"/>
      <c r="L27" s="60"/>
      <c r="M27" s="60"/>
      <c r="N27" s="60"/>
      <c r="O27" s="60"/>
      <c r="P27" s="45">
        <f>G27+H27+I27+J27+K27+L27+M27+N27+O27</f>
        <v>114990</v>
      </c>
      <c r="Q27" s="59"/>
      <c r="R27" s="59"/>
      <c r="S27" s="59"/>
      <c r="T27" s="59"/>
      <c r="U27" s="59"/>
      <c r="V27" s="59">
        <v>97690</v>
      </c>
      <c r="W27" s="59"/>
      <c r="X27" s="59"/>
      <c r="Y27" s="59"/>
      <c r="Z27" s="59"/>
      <c r="AA27" s="59"/>
      <c r="AB27" s="59"/>
      <c r="AC27" s="46">
        <f>SUM(Q27:AB27)</f>
        <v>97690</v>
      </c>
      <c r="AD27" s="43">
        <f>P27-AC27</f>
        <v>17300</v>
      </c>
      <c r="AE27" s="338">
        <f t="shared" si="2"/>
        <v>84.9552134968258</v>
      </c>
    </row>
    <row r="28" spans="2:31" s="56" customFormat="1" ht="51">
      <c r="B28" s="340"/>
      <c r="C28" s="41"/>
      <c r="D28" s="41">
        <v>6300</v>
      </c>
      <c r="E28" s="42" t="s">
        <v>569</v>
      </c>
      <c r="F28" s="61">
        <v>230000</v>
      </c>
      <c r="G28" s="59">
        <v>230000</v>
      </c>
      <c r="H28" s="61">
        <v>-112000</v>
      </c>
      <c r="I28" s="60"/>
      <c r="J28" s="60"/>
      <c r="K28" s="60"/>
      <c r="L28" s="60"/>
      <c r="M28" s="60"/>
      <c r="N28" s="60"/>
      <c r="O28" s="60"/>
      <c r="P28" s="45">
        <f>G28+H28+I28+J28+K28+L28+M28+N28+O28</f>
        <v>118000</v>
      </c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46">
        <f>SUM(Q28:AB28)</f>
        <v>0</v>
      </c>
      <c r="AD28" s="43">
        <f>P28-AC28</f>
        <v>118000</v>
      </c>
      <c r="AE28" s="338">
        <f t="shared" si="2"/>
        <v>0</v>
      </c>
    </row>
    <row r="29" spans="2:31" s="28" customFormat="1" ht="12.75">
      <c r="B29" s="33"/>
      <c r="C29" s="35">
        <v>60016</v>
      </c>
      <c r="D29" s="35"/>
      <c r="E29" s="36" t="s">
        <v>172</v>
      </c>
      <c r="F29" s="63">
        <f>SUM(F30:F30)</f>
        <v>420000</v>
      </c>
      <c r="G29" s="37">
        <f>SUM(G30:G30)</f>
        <v>110000</v>
      </c>
      <c r="H29" s="38">
        <f>SUM(H30:H30)</f>
        <v>484000</v>
      </c>
      <c r="I29" s="38">
        <f aca="true" t="shared" si="20" ref="I29:O29">SUM(I30:I30)</f>
        <v>0</v>
      </c>
      <c r="J29" s="38">
        <f t="shared" si="20"/>
        <v>370000</v>
      </c>
      <c r="K29" s="38">
        <f t="shared" si="20"/>
        <v>0</v>
      </c>
      <c r="L29" s="38">
        <f t="shared" si="20"/>
        <v>0</v>
      </c>
      <c r="M29" s="38">
        <f t="shared" si="20"/>
        <v>0</v>
      </c>
      <c r="N29" s="38">
        <f t="shared" si="20"/>
        <v>0</v>
      </c>
      <c r="O29" s="38">
        <f t="shared" si="20"/>
        <v>0</v>
      </c>
      <c r="P29" s="39">
        <f>SUM(P30:P30)</f>
        <v>964000</v>
      </c>
      <c r="Q29" s="37">
        <f>SUM(Q30:Q30)</f>
        <v>0</v>
      </c>
      <c r="R29" s="37">
        <f aca="true" t="shared" si="21" ref="R29:AB29">SUM(R30:R30)</f>
        <v>0</v>
      </c>
      <c r="S29" s="37">
        <f t="shared" si="21"/>
        <v>0</v>
      </c>
      <c r="T29" s="37">
        <f t="shared" si="21"/>
        <v>0</v>
      </c>
      <c r="U29" s="37">
        <f t="shared" si="21"/>
        <v>0</v>
      </c>
      <c r="V29" s="37">
        <f t="shared" si="21"/>
        <v>26840</v>
      </c>
      <c r="W29" s="37">
        <f t="shared" si="21"/>
        <v>0</v>
      </c>
      <c r="X29" s="37">
        <f t="shared" si="21"/>
        <v>0</v>
      </c>
      <c r="Y29" s="37">
        <f t="shared" si="21"/>
        <v>0</v>
      </c>
      <c r="Z29" s="37">
        <f t="shared" si="21"/>
        <v>0</v>
      </c>
      <c r="AA29" s="37">
        <f t="shared" si="21"/>
        <v>0</v>
      </c>
      <c r="AB29" s="37">
        <f t="shared" si="21"/>
        <v>0</v>
      </c>
      <c r="AC29" s="37">
        <f>SUM(AC30:AC30)</f>
        <v>26840</v>
      </c>
      <c r="AD29" s="37">
        <f>SUM(AD30:AD30)</f>
        <v>937160</v>
      </c>
      <c r="AE29" s="337">
        <f t="shared" si="2"/>
        <v>2.784232365145228</v>
      </c>
    </row>
    <row r="30" spans="2:31" s="28" customFormat="1" ht="25.5">
      <c r="B30" s="339"/>
      <c r="C30" s="40"/>
      <c r="D30" s="41">
        <v>6050</v>
      </c>
      <c r="E30" s="42" t="s">
        <v>1001</v>
      </c>
      <c r="F30" s="65">
        <f>100000+100000+220000</f>
        <v>420000</v>
      </c>
      <c r="G30" s="43">
        <f>100000+100000+10000-100000</f>
        <v>110000</v>
      </c>
      <c r="H30" s="44">
        <f>184000+300000</f>
        <v>484000</v>
      </c>
      <c r="I30" s="44"/>
      <c r="J30" s="44">
        <f>340000+30000</f>
        <v>370000</v>
      </c>
      <c r="K30" s="44"/>
      <c r="L30" s="44"/>
      <c r="M30" s="44"/>
      <c r="N30" s="44"/>
      <c r="O30" s="44"/>
      <c r="P30" s="45">
        <f>G30+H30+I30+J30+K30+L30+M30+N30+O30</f>
        <v>964000</v>
      </c>
      <c r="Q30" s="43"/>
      <c r="R30" s="43"/>
      <c r="S30" s="43"/>
      <c r="T30" s="43"/>
      <c r="U30" s="43"/>
      <c r="V30" s="43">
        <v>26840</v>
      </c>
      <c r="W30" s="43"/>
      <c r="X30" s="43"/>
      <c r="Y30" s="43"/>
      <c r="Z30" s="43"/>
      <c r="AA30" s="43"/>
      <c r="AB30" s="43"/>
      <c r="AC30" s="46">
        <f>SUM(Q30:AB30)</f>
        <v>26840</v>
      </c>
      <c r="AD30" s="43">
        <f>P30-AC30</f>
        <v>937160</v>
      </c>
      <c r="AE30" s="338">
        <f t="shared" si="2"/>
        <v>2.784232365145228</v>
      </c>
    </row>
    <row r="31" spans="2:31" s="28" customFormat="1" ht="12.75">
      <c r="B31" s="53">
        <v>700</v>
      </c>
      <c r="C31" s="54"/>
      <c r="D31" s="54"/>
      <c r="E31" s="55" t="s">
        <v>175</v>
      </c>
      <c r="F31" s="62">
        <f>F35+F32</f>
        <v>1269635</v>
      </c>
      <c r="G31" s="51">
        <f>G35+G32</f>
        <v>889635</v>
      </c>
      <c r="H31" s="52">
        <f>H35+H32</f>
        <v>245503</v>
      </c>
      <c r="I31" s="52">
        <f aca="true" t="shared" si="22" ref="I31:O31">I35+I32</f>
        <v>183000</v>
      </c>
      <c r="J31" s="52">
        <f t="shared" si="22"/>
        <v>210800</v>
      </c>
      <c r="K31" s="52">
        <f t="shared" si="22"/>
        <v>0</v>
      </c>
      <c r="L31" s="52">
        <f t="shared" si="22"/>
        <v>0</v>
      </c>
      <c r="M31" s="52">
        <f t="shared" si="22"/>
        <v>0</v>
      </c>
      <c r="N31" s="52">
        <f t="shared" si="22"/>
        <v>0</v>
      </c>
      <c r="O31" s="52">
        <f t="shared" si="22"/>
        <v>0</v>
      </c>
      <c r="P31" s="51">
        <f>P35+P32</f>
        <v>1528938</v>
      </c>
      <c r="Q31" s="51">
        <f>Q35+Q32</f>
        <v>1988.97</v>
      </c>
      <c r="R31" s="51">
        <f aca="true" t="shared" si="23" ref="R31:AD31">R35+R32</f>
        <v>51991.98</v>
      </c>
      <c r="S31" s="51">
        <f t="shared" si="23"/>
        <v>69158.09</v>
      </c>
      <c r="T31" s="51">
        <f t="shared" si="23"/>
        <v>53990.67</v>
      </c>
      <c r="U31" s="51">
        <f>U35+U32</f>
        <v>194540.36</v>
      </c>
      <c r="V31" s="62">
        <f t="shared" si="23"/>
        <v>127207.65999999997</v>
      </c>
      <c r="W31" s="51">
        <f t="shared" si="23"/>
        <v>0</v>
      </c>
      <c r="X31" s="51">
        <f t="shared" si="23"/>
        <v>0</v>
      </c>
      <c r="Y31" s="51">
        <f t="shared" si="23"/>
        <v>0</v>
      </c>
      <c r="Z31" s="51">
        <f t="shared" si="23"/>
        <v>0</v>
      </c>
      <c r="AA31" s="51">
        <f t="shared" si="23"/>
        <v>0</v>
      </c>
      <c r="AB31" s="51">
        <f t="shared" si="23"/>
        <v>0</v>
      </c>
      <c r="AC31" s="51">
        <f t="shared" si="23"/>
        <v>498877.73</v>
      </c>
      <c r="AD31" s="51">
        <f t="shared" si="23"/>
        <v>1030060.27</v>
      </c>
      <c r="AE31" s="336">
        <f t="shared" si="2"/>
        <v>32.6290359713736</v>
      </c>
    </row>
    <row r="32" spans="2:31" s="28" customFormat="1" ht="25.5">
      <c r="B32" s="33"/>
      <c r="C32" s="35">
        <v>70004</v>
      </c>
      <c r="D32" s="35"/>
      <c r="E32" s="36" t="s">
        <v>570</v>
      </c>
      <c r="F32" s="63">
        <f>SUM(F33:F33)</f>
        <v>382930</v>
      </c>
      <c r="G32" s="37">
        <f>SUM(G33:G33)</f>
        <v>322930</v>
      </c>
      <c r="H32" s="38">
        <f>SUM(H33:H33)</f>
        <v>0</v>
      </c>
      <c r="I32" s="38">
        <f>SUM(I33:I34)</f>
        <v>183000</v>
      </c>
      <c r="J32" s="38">
        <f aca="true" t="shared" si="24" ref="J32:O32">SUM(J33:J33)</f>
        <v>77300</v>
      </c>
      <c r="K32" s="38">
        <f t="shared" si="24"/>
        <v>0</v>
      </c>
      <c r="L32" s="38">
        <f t="shared" si="24"/>
        <v>0</v>
      </c>
      <c r="M32" s="38">
        <f t="shared" si="24"/>
        <v>0</v>
      </c>
      <c r="N32" s="38">
        <f t="shared" si="24"/>
        <v>0</v>
      </c>
      <c r="O32" s="38">
        <f t="shared" si="24"/>
        <v>0</v>
      </c>
      <c r="P32" s="39">
        <f>SUM(P33:P34)</f>
        <v>583230</v>
      </c>
      <c r="Q32" s="37">
        <f>SUM(Q33:Q33)</f>
        <v>0</v>
      </c>
      <c r="R32" s="37">
        <f aca="true" t="shared" si="25" ref="R32:AB32">SUM(R33:R33)</f>
        <v>50000</v>
      </c>
      <c r="S32" s="37">
        <f t="shared" si="25"/>
        <v>60000</v>
      </c>
      <c r="T32" s="37">
        <f t="shared" si="25"/>
        <v>50000</v>
      </c>
      <c r="U32" s="37">
        <f>SUM(U33:U34)</f>
        <v>183000</v>
      </c>
      <c r="V32" s="63">
        <f>SUM(V33:V34)</f>
        <v>-29904</v>
      </c>
      <c r="W32" s="37">
        <f t="shared" si="25"/>
        <v>0</v>
      </c>
      <c r="X32" s="37">
        <f t="shared" si="25"/>
        <v>0</v>
      </c>
      <c r="Y32" s="37">
        <f t="shared" si="25"/>
        <v>0</v>
      </c>
      <c r="Z32" s="37">
        <f t="shared" si="25"/>
        <v>0</v>
      </c>
      <c r="AA32" s="37">
        <f t="shared" si="25"/>
        <v>0</v>
      </c>
      <c r="AB32" s="37">
        <f t="shared" si="25"/>
        <v>0</v>
      </c>
      <c r="AC32" s="37">
        <f>SUM(AC33:AC34)</f>
        <v>313096</v>
      </c>
      <c r="AD32" s="37">
        <f>SUM(AD33:AD34)</f>
        <v>270134</v>
      </c>
      <c r="AE32" s="337">
        <f t="shared" si="2"/>
        <v>53.68310957941121</v>
      </c>
    </row>
    <row r="33" spans="2:31" s="22" customFormat="1" ht="25.5">
      <c r="B33" s="341"/>
      <c r="C33" s="64"/>
      <c r="D33" s="41">
        <v>2650</v>
      </c>
      <c r="E33" s="42" t="s">
        <v>571</v>
      </c>
      <c r="F33" s="65">
        <v>382930</v>
      </c>
      <c r="G33" s="43">
        <f>382930-60000</f>
        <v>322930</v>
      </c>
      <c r="H33" s="44"/>
      <c r="I33" s="44"/>
      <c r="J33" s="44">
        <v>77300</v>
      </c>
      <c r="K33" s="44"/>
      <c r="L33" s="44"/>
      <c r="M33" s="44"/>
      <c r="N33" s="44"/>
      <c r="O33" s="44"/>
      <c r="P33" s="45">
        <f>G33+H33+I33+J33+K33+L33+M33+N33+O33</f>
        <v>400230</v>
      </c>
      <c r="Q33" s="43"/>
      <c r="R33" s="43">
        <v>50000</v>
      </c>
      <c r="S33" s="43">
        <v>60000</v>
      </c>
      <c r="T33" s="43">
        <v>50000</v>
      </c>
      <c r="U33" s="43"/>
      <c r="V33" s="43">
        <v>30000</v>
      </c>
      <c r="W33" s="43"/>
      <c r="X33" s="43"/>
      <c r="Y33" s="43"/>
      <c r="Z33" s="43"/>
      <c r="AA33" s="43"/>
      <c r="AB33" s="43"/>
      <c r="AC33" s="46">
        <f>SUM(Q33:AB33)</f>
        <v>190000</v>
      </c>
      <c r="AD33" s="43">
        <f>P33-AC33</f>
        <v>210230</v>
      </c>
      <c r="AE33" s="338">
        <f t="shared" si="2"/>
        <v>47.4727031956625</v>
      </c>
    </row>
    <row r="34" spans="2:31" s="22" customFormat="1" ht="51">
      <c r="B34" s="341"/>
      <c r="C34" s="64"/>
      <c r="D34" s="41">
        <v>6210</v>
      </c>
      <c r="E34" s="42" t="s">
        <v>572</v>
      </c>
      <c r="F34" s="65"/>
      <c r="G34" s="43"/>
      <c r="H34" s="44"/>
      <c r="I34" s="44">
        <v>183000</v>
      </c>
      <c r="J34" s="44"/>
      <c r="K34" s="44"/>
      <c r="L34" s="44"/>
      <c r="M34" s="44"/>
      <c r="N34" s="44"/>
      <c r="O34" s="44"/>
      <c r="P34" s="45">
        <f>G34+H34+I34+J34+K34+L34+M34+N34+O34</f>
        <v>183000</v>
      </c>
      <c r="Q34" s="43"/>
      <c r="R34" s="43"/>
      <c r="S34" s="43"/>
      <c r="T34" s="43"/>
      <c r="U34" s="43">
        <v>183000</v>
      </c>
      <c r="V34" s="65">
        <v>-59904</v>
      </c>
      <c r="W34" s="43"/>
      <c r="X34" s="43"/>
      <c r="Y34" s="43"/>
      <c r="Z34" s="43"/>
      <c r="AA34" s="43"/>
      <c r="AB34" s="43"/>
      <c r="AC34" s="46">
        <f>SUM(Q34:AB34)</f>
        <v>123096</v>
      </c>
      <c r="AD34" s="43">
        <f>P34-AC34</f>
        <v>59904</v>
      </c>
      <c r="AE34" s="338">
        <f t="shared" si="2"/>
        <v>67.2655737704918</v>
      </c>
    </row>
    <row r="35" spans="2:31" s="66" customFormat="1" ht="12.75">
      <c r="B35" s="340"/>
      <c r="C35" s="35">
        <v>70005</v>
      </c>
      <c r="D35" s="35"/>
      <c r="E35" s="36" t="s">
        <v>176</v>
      </c>
      <c r="F35" s="63">
        <f>SUM(F36:F38)</f>
        <v>886705</v>
      </c>
      <c r="G35" s="37">
        <f>SUM(G36:G38)</f>
        <v>566705</v>
      </c>
      <c r="H35" s="38">
        <f>SUM(H36:H38)</f>
        <v>245503</v>
      </c>
      <c r="I35" s="38">
        <f aca="true" t="shared" si="26" ref="I35:O35">SUM(I36:I38)</f>
        <v>0</v>
      </c>
      <c r="J35" s="38">
        <f t="shared" si="26"/>
        <v>133500</v>
      </c>
      <c r="K35" s="38">
        <f t="shared" si="26"/>
        <v>0</v>
      </c>
      <c r="L35" s="38">
        <f t="shared" si="26"/>
        <v>0</v>
      </c>
      <c r="M35" s="38">
        <f t="shared" si="26"/>
        <v>0</v>
      </c>
      <c r="N35" s="38">
        <f t="shared" si="26"/>
        <v>0</v>
      </c>
      <c r="O35" s="38">
        <f t="shared" si="26"/>
        <v>0</v>
      </c>
      <c r="P35" s="39">
        <f>SUM(P36:P38)</f>
        <v>945708</v>
      </c>
      <c r="Q35" s="37">
        <f>SUM(Q36:Q38)</f>
        <v>1988.97</v>
      </c>
      <c r="R35" s="37">
        <f aca="true" t="shared" si="27" ref="R35:AB35">SUM(R36:R38)</f>
        <v>1991.98</v>
      </c>
      <c r="S35" s="37">
        <f t="shared" si="27"/>
        <v>9158.09</v>
      </c>
      <c r="T35" s="37">
        <f t="shared" si="27"/>
        <v>3990.67</v>
      </c>
      <c r="U35" s="37">
        <f t="shared" si="27"/>
        <v>11540.36</v>
      </c>
      <c r="V35" s="37">
        <f t="shared" si="27"/>
        <v>157111.65999999997</v>
      </c>
      <c r="W35" s="37">
        <f t="shared" si="27"/>
        <v>0</v>
      </c>
      <c r="X35" s="37">
        <f t="shared" si="27"/>
        <v>0</v>
      </c>
      <c r="Y35" s="37">
        <f t="shared" si="27"/>
        <v>0</v>
      </c>
      <c r="Z35" s="37">
        <f t="shared" si="27"/>
        <v>0</v>
      </c>
      <c r="AA35" s="37">
        <f t="shared" si="27"/>
        <v>0</v>
      </c>
      <c r="AB35" s="37">
        <f t="shared" si="27"/>
        <v>0</v>
      </c>
      <c r="AC35" s="37">
        <f>SUM(AC36:AC38)</f>
        <v>185781.72999999998</v>
      </c>
      <c r="AD35" s="37">
        <f>SUM(AD36:AD38)</f>
        <v>759926.27</v>
      </c>
      <c r="AE35" s="337">
        <f t="shared" si="2"/>
        <v>19.64472437581156</v>
      </c>
    </row>
    <row r="36" spans="2:31" s="66" customFormat="1" ht="12.75">
      <c r="B36" s="340"/>
      <c r="C36" s="67"/>
      <c r="D36" s="41">
        <v>4300</v>
      </c>
      <c r="E36" s="42" t="s">
        <v>1000</v>
      </c>
      <c r="F36" s="61">
        <f>15000+35000+10000+10000+6000+5000+5000+20000+25000+15000</f>
        <v>146000</v>
      </c>
      <c r="G36" s="59">
        <f>15000+35000+10000+10000+6000+5000+5000+20000+25000+15000-20000</f>
        <v>126000</v>
      </c>
      <c r="H36" s="60">
        <v>3000</v>
      </c>
      <c r="I36" s="60"/>
      <c r="J36" s="60"/>
      <c r="K36" s="60"/>
      <c r="L36" s="60"/>
      <c r="M36" s="60"/>
      <c r="N36" s="60"/>
      <c r="O36" s="60"/>
      <c r="P36" s="45">
        <f>G36+H36+I36+J36+K36+L36+M36+N36+O36</f>
        <v>129000</v>
      </c>
      <c r="Q36" s="59">
        <v>1988.97</v>
      </c>
      <c r="R36" s="59">
        <v>1991.98</v>
      </c>
      <c r="S36" s="59">
        <v>7158.09</v>
      </c>
      <c r="T36" s="59">
        <v>1990.67</v>
      </c>
      <c r="U36" s="59">
        <v>11540.36</v>
      </c>
      <c r="V36" s="59">
        <v>4215.34</v>
      </c>
      <c r="W36" s="59"/>
      <c r="X36" s="59"/>
      <c r="Y36" s="59"/>
      <c r="Z36" s="59"/>
      <c r="AA36" s="59"/>
      <c r="AB36" s="59"/>
      <c r="AC36" s="46">
        <f>SUM(Q36:AB36)</f>
        <v>28885.41</v>
      </c>
      <c r="AD36" s="43">
        <f>P36-AC36</f>
        <v>100114.59</v>
      </c>
      <c r="AE36" s="338">
        <f t="shared" si="2"/>
        <v>22.39179069767442</v>
      </c>
    </row>
    <row r="37" spans="2:31" s="66" customFormat="1" ht="25.5">
      <c r="B37" s="340"/>
      <c r="C37" s="67"/>
      <c r="D37" s="41">
        <v>6050</v>
      </c>
      <c r="E37" s="42" t="s">
        <v>1001</v>
      </c>
      <c r="F37" s="61">
        <f>200000+50000</f>
        <v>250000</v>
      </c>
      <c r="G37" s="59">
        <f>50000+50000+100000</f>
        <v>200000</v>
      </c>
      <c r="H37" s="60">
        <v>80000</v>
      </c>
      <c r="I37" s="60"/>
      <c r="J37" s="60"/>
      <c r="K37" s="60"/>
      <c r="L37" s="60"/>
      <c r="M37" s="60"/>
      <c r="N37" s="60"/>
      <c r="O37" s="60"/>
      <c r="P37" s="45">
        <f>G37+H37+I37+J37+K37+L37+M37+N37+O37</f>
        <v>280000</v>
      </c>
      <c r="Q37" s="59"/>
      <c r="R37" s="59"/>
      <c r="S37" s="59"/>
      <c r="T37" s="59"/>
      <c r="U37" s="59"/>
      <c r="V37" s="59">
        <v>336.52</v>
      </c>
      <c r="W37" s="59"/>
      <c r="X37" s="59"/>
      <c r="Y37" s="59"/>
      <c r="Z37" s="59"/>
      <c r="AA37" s="59"/>
      <c r="AB37" s="59"/>
      <c r="AC37" s="46">
        <f>SUM(Q37:AB37)</f>
        <v>336.52</v>
      </c>
      <c r="AD37" s="43">
        <f>P37-AC37</f>
        <v>279663.48</v>
      </c>
      <c r="AE37" s="338">
        <f t="shared" si="2"/>
        <v>0.12018571428571428</v>
      </c>
    </row>
    <row r="38" spans="2:31" s="66" customFormat="1" ht="25.5">
      <c r="B38" s="340"/>
      <c r="C38" s="67"/>
      <c r="D38" s="41">
        <v>6060</v>
      </c>
      <c r="E38" s="42" t="s">
        <v>573</v>
      </c>
      <c r="F38" s="61">
        <f>40000+450705</f>
        <v>490705</v>
      </c>
      <c r="G38" s="59">
        <f>40000+450705-250000</f>
        <v>240705</v>
      </c>
      <c r="H38" s="60">
        <f>77503+85000</f>
        <v>162503</v>
      </c>
      <c r="I38" s="60"/>
      <c r="J38" s="60">
        <v>133500</v>
      </c>
      <c r="K38" s="60"/>
      <c r="L38" s="60"/>
      <c r="M38" s="60"/>
      <c r="N38" s="60"/>
      <c r="O38" s="60"/>
      <c r="P38" s="45">
        <f>G38+H38+I38+J38+K38+L38+M38+N38+O38</f>
        <v>536708</v>
      </c>
      <c r="Q38" s="59"/>
      <c r="R38" s="59"/>
      <c r="S38" s="59">
        <v>2000</v>
      </c>
      <c r="T38" s="59">
        <v>2000</v>
      </c>
      <c r="U38" s="59"/>
      <c r="V38" s="59">
        <v>152559.8</v>
      </c>
      <c r="W38" s="59"/>
      <c r="X38" s="59"/>
      <c r="Y38" s="59"/>
      <c r="Z38" s="59"/>
      <c r="AA38" s="59"/>
      <c r="AB38" s="59"/>
      <c r="AC38" s="46">
        <f>SUM(Q38:AB38)</f>
        <v>156559.8</v>
      </c>
      <c r="AD38" s="43">
        <f>P38-AC38</f>
        <v>380148.2</v>
      </c>
      <c r="AE38" s="338">
        <f t="shared" si="2"/>
        <v>29.170386877035554</v>
      </c>
    </row>
    <row r="39" spans="2:31" s="28" customFormat="1" ht="12.75">
      <c r="B39" s="53">
        <v>710</v>
      </c>
      <c r="C39" s="54"/>
      <c r="D39" s="54"/>
      <c r="E39" s="55" t="s">
        <v>574</v>
      </c>
      <c r="F39" s="62">
        <f>F40+F43+F45</f>
        <v>537400</v>
      </c>
      <c r="G39" s="51">
        <f>G40+G43+G45</f>
        <v>307400</v>
      </c>
      <c r="H39" s="52">
        <f>H40+H43+H45</f>
        <v>15100</v>
      </c>
      <c r="I39" s="52">
        <f aca="true" t="shared" si="28" ref="I39:O39">I40+I43+I45</f>
        <v>0</v>
      </c>
      <c r="J39" s="52">
        <f t="shared" si="28"/>
        <v>241800</v>
      </c>
      <c r="K39" s="52">
        <f t="shared" si="28"/>
        <v>0</v>
      </c>
      <c r="L39" s="52">
        <f t="shared" si="28"/>
        <v>0</v>
      </c>
      <c r="M39" s="52">
        <f t="shared" si="28"/>
        <v>0</v>
      </c>
      <c r="N39" s="52">
        <f t="shared" si="28"/>
        <v>0</v>
      </c>
      <c r="O39" s="52">
        <f t="shared" si="28"/>
        <v>0</v>
      </c>
      <c r="P39" s="51">
        <f>P40+P43+P45</f>
        <v>564300</v>
      </c>
      <c r="Q39" s="51">
        <f>Q40+Q43+Q45</f>
        <v>3551.6000000000004</v>
      </c>
      <c r="R39" s="51">
        <f aca="true" t="shared" si="29" ref="R39:AB39">R40+R43+R45</f>
        <v>0</v>
      </c>
      <c r="S39" s="51">
        <f t="shared" si="29"/>
        <v>0</v>
      </c>
      <c r="T39" s="51">
        <f t="shared" si="29"/>
        <v>2765.3999999999996</v>
      </c>
      <c r="U39" s="51">
        <f t="shared" si="29"/>
        <v>4862.1</v>
      </c>
      <c r="V39" s="51">
        <f t="shared" si="29"/>
        <v>1352.7</v>
      </c>
      <c r="W39" s="51">
        <f t="shared" si="29"/>
        <v>0</v>
      </c>
      <c r="X39" s="51">
        <f t="shared" si="29"/>
        <v>0</v>
      </c>
      <c r="Y39" s="51">
        <f t="shared" si="29"/>
        <v>0</v>
      </c>
      <c r="Z39" s="51">
        <f t="shared" si="29"/>
        <v>0</v>
      </c>
      <c r="AA39" s="51">
        <f t="shared" si="29"/>
        <v>0</v>
      </c>
      <c r="AB39" s="51">
        <f t="shared" si="29"/>
        <v>0</v>
      </c>
      <c r="AC39" s="51">
        <f>AC40+AC43+AC45</f>
        <v>12531.8</v>
      </c>
      <c r="AD39" s="51">
        <f>AD40+AD43+AD45</f>
        <v>551768.2</v>
      </c>
      <c r="AE39" s="336">
        <f t="shared" si="2"/>
        <v>2.220769094453305</v>
      </c>
    </row>
    <row r="40" spans="2:31" s="28" customFormat="1" ht="12.75">
      <c r="B40" s="33"/>
      <c r="C40" s="35">
        <v>71004</v>
      </c>
      <c r="D40" s="35"/>
      <c r="E40" s="36" t="s">
        <v>986</v>
      </c>
      <c r="F40" s="63">
        <f>SUM(F41:F42)</f>
        <v>387400</v>
      </c>
      <c r="G40" s="37">
        <f>SUM(G41:G42)</f>
        <v>187400</v>
      </c>
      <c r="H40" s="38">
        <f>SUM(H41:H42)</f>
        <v>41100</v>
      </c>
      <c r="I40" s="38">
        <f aca="true" t="shared" si="30" ref="I40:O40">SUM(I41:I42)</f>
        <v>0</v>
      </c>
      <c r="J40" s="38">
        <f t="shared" si="30"/>
        <v>2600</v>
      </c>
      <c r="K40" s="38">
        <f t="shared" si="30"/>
        <v>0</v>
      </c>
      <c r="L40" s="38">
        <f t="shared" si="30"/>
        <v>0</v>
      </c>
      <c r="M40" s="38">
        <f t="shared" si="30"/>
        <v>0</v>
      </c>
      <c r="N40" s="38">
        <f t="shared" si="30"/>
        <v>0</v>
      </c>
      <c r="O40" s="38">
        <f t="shared" si="30"/>
        <v>0</v>
      </c>
      <c r="P40" s="68">
        <f>SUM(P41:P42)</f>
        <v>231100</v>
      </c>
      <c r="Q40" s="37">
        <f>SUM(Q41:Q42)</f>
        <v>1053.8</v>
      </c>
      <c r="R40" s="37">
        <f aca="true" t="shared" si="31" ref="R40:AB40">SUM(R41:R42)</f>
        <v>0</v>
      </c>
      <c r="S40" s="37">
        <f t="shared" si="31"/>
        <v>0</v>
      </c>
      <c r="T40" s="37">
        <f t="shared" si="31"/>
        <v>2167.6</v>
      </c>
      <c r="U40" s="37">
        <f t="shared" si="31"/>
        <v>3517.05</v>
      </c>
      <c r="V40" s="37">
        <f t="shared" si="31"/>
        <v>456</v>
      </c>
      <c r="W40" s="37">
        <f t="shared" si="31"/>
        <v>0</v>
      </c>
      <c r="X40" s="37">
        <f t="shared" si="31"/>
        <v>0</v>
      </c>
      <c r="Y40" s="37">
        <f t="shared" si="31"/>
        <v>0</v>
      </c>
      <c r="Z40" s="37">
        <f t="shared" si="31"/>
        <v>0</v>
      </c>
      <c r="AA40" s="37">
        <f t="shared" si="31"/>
        <v>0</v>
      </c>
      <c r="AB40" s="37">
        <f t="shared" si="31"/>
        <v>0</v>
      </c>
      <c r="AC40" s="37">
        <f>SUM(AC41:AC42)</f>
        <v>7194.45</v>
      </c>
      <c r="AD40" s="37">
        <f>SUM(AD41:AD42)</f>
        <v>223905.55</v>
      </c>
      <c r="AE40" s="337">
        <f t="shared" si="2"/>
        <v>3.1131328429251406</v>
      </c>
    </row>
    <row r="41" spans="2:31" s="28" customFormat="1" ht="12.75">
      <c r="B41" s="33"/>
      <c r="C41" s="35"/>
      <c r="D41" s="41">
        <v>3030</v>
      </c>
      <c r="E41" s="42" t="s">
        <v>987</v>
      </c>
      <c r="F41" s="65">
        <v>10400</v>
      </c>
      <c r="G41" s="43">
        <v>10400</v>
      </c>
      <c r="H41" s="44">
        <v>9100</v>
      </c>
      <c r="I41" s="44"/>
      <c r="J41" s="44">
        <v>2600</v>
      </c>
      <c r="K41" s="44"/>
      <c r="L41" s="44"/>
      <c r="M41" s="44"/>
      <c r="N41" s="44"/>
      <c r="O41" s="44"/>
      <c r="P41" s="45">
        <f>G41+H41+I41+J41+K41+L41+M41+N41+O41</f>
        <v>22100</v>
      </c>
      <c r="Q41" s="43">
        <v>456</v>
      </c>
      <c r="R41" s="43"/>
      <c r="S41" s="43"/>
      <c r="T41" s="43">
        <v>972</v>
      </c>
      <c r="U41" s="43">
        <v>2172</v>
      </c>
      <c r="V41" s="43">
        <v>456</v>
      </c>
      <c r="W41" s="43"/>
      <c r="X41" s="43"/>
      <c r="Y41" s="43"/>
      <c r="Z41" s="43"/>
      <c r="AA41" s="43"/>
      <c r="AB41" s="43"/>
      <c r="AC41" s="46">
        <f>SUM(Q41:AB41)</f>
        <v>4056</v>
      </c>
      <c r="AD41" s="43">
        <f>P41-AC41</f>
        <v>18044</v>
      </c>
      <c r="AE41" s="338">
        <f t="shared" si="2"/>
        <v>18.352941176470587</v>
      </c>
    </row>
    <row r="42" spans="2:31" s="28" customFormat="1" ht="12.75">
      <c r="B42" s="33"/>
      <c r="C42" s="41"/>
      <c r="D42" s="41">
        <v>4300</v>
      </c>
      <c r="E42" s="42" t="s">
        <v>1000</v>
      </c>
      <c r="F42" s="65">
        <f>147000+210000+20000</f>
        <v>377000</v>
      </c>
      <c r="G42" s="43">
        <f>147000+210000+20000-200000</f>
        <v>177000</v>
      </c>
      <c r="H42" s="44">
        <f>26000+6000</f>
        <v>32000</v>
      </c>
      <c r="I42" s="44"/>
      <c r="J42" s="44"/>
      <c r="K42" s="44"/>
      <c r="L42" s="44"/>
      <c r="M42" s="44"/>
      <c r="N42" s="44"/>
      <c r="O42" s="44"/>
      <c r="P42" s="45">
        <f>G42+H42+I42+J42+K42+L42+M42+N42+O42</f>
        <v>209000</v>
      </c>
      <c r="Q42" s="43">
        <v>597.8</v>
      </c>
      <c r="R42" s="43"/>
      <c r="S42" s="43"/>
      <c r="T42" s="43">
        <v>1195.6</v>
      </c>
      <c r="U42" s="43">
        <v>1345.05</v>
      </c>
      <c r="V42" s="43"/>
      <c r="W42" s="43"/>
      <c r="X42" s="43"/>
      <c r="Y42" s="43"/>
      <c r="Z42" s="43"/>
      <c r="AA42" s="43"/>
      <c r="AB42" s="43"/>
      <c r="AC42" s="46">
        <f>SUM(Q42:AB42)</f>
        <v>3138.45</v>
      </c>
      <c r="AD42" s="43">
        <f>P42-AC42</f>
        <v>205861.55</v>
      </c>
      <c r="AE42" s="338">
        <f t="shared" si="2"/>
        <v>1.5016507177033493</v>
      </c>
    </row>
    <row r="43" spans="2:31" s="28" customFormat="1" ht="12.75">
      <c r="B43" s="33"/>
      <c r="C43" s="35">
        <v>71014</v>
      </c>
      <c r="D43" s="35"/>
      <c r="E43" s="36" t="s">
        <v>630</v>
      </c>
      <c r="F43" s="63">
        <f aca="true" t="shared" si="32" ref="F43:AD43">SUM(F44:F44)</f>
        <v>150000</v>
      </c>
      <c r="G43" s="37">
        <f t="shared" si="32"/>
        <v>100000</v>
      </c>
      <c r="H43" s="63">
        <f t="shared" si="32"/>
        <v>-70000</v>
      </c>
      <c r="I43" s="38">
        <f t="shared" si="32"/>
        <v>0</v>
      </c>
      <c r="J43" s="38">
        <f t="shared" si="32"/>
        <v>232200</v>
      </c>
      <c r="K43" s="38">
        <f t="shared" si="32"/>
        <v>0</v>
      </c>
      <c r="L43" s="38">
        <f t="shared" si="32"/>
        <v>0</v>
      </c>
      <c r="M43" s="38">
        <f t="shared" si="32"/>
        <v>0</v>
      </c>
      <c r="N43" s="38">
        <f t="shared" si="32"/>
        <v>0</v>
      </c>
      <c r="O43" s="38">
        <f t="shared" si="32"/>
        <v>0</v>
      </c>
      <c r="P43" s="68">
        <f t="shared" si="32"/>
        <v>262200</v>
      </c>
      <c r="Q43" s="37">
        <f t="shared" si="32"/>
        <v>2497.8</v>
      </c>
      <c r="R43" s="37">
        <f t="shared" si="32"/>
        <v>0</v>
      </c>
      <c r="S43" s="37">
        <f t="shared" si="32"/>
        <v>0</v>
      </c>
      <c r="T43" s="37">
        <f t="shared" si="32"/>
        <v>597.8</v>
      </c>
      <c r="U43" s="37">
        <f t="shared" si="32"/>
        <v>1345.05</v>
      </c>
      <c r="V43" s="37">
        <f t="shared" si="32"/>
        <v>896.7</v>
      </c>
      <c r="W43" s="37">
        <f t="shared" si="32"/>
        <v>0</v>
      </c>
      <c r="X43" s="37">
        <f t="shared" si="32"/>
        <v>0</v>
      </c>
      <c r="Y43" s="37">
        <f t="shared" si="32"/>
        <v>0</v>
      </c>
      <c r="Z43" s="37">
        <f t="shared" si="32"/>
        <v>0</v>
      </c>
      <c r="AA43" s="37">
        <f t="shared" si="32"/>
        <v>0</v>
      </c>
      <c r="AB43" s="37">
        <f t="shared" si="32"/>
        <v>0</v>
      </c>
      <c r="AC43" s="37">
        <f t="shared" si="32"/>
        <v>5337.35</v>
      </c>
      <c r="AD43" s="37">
        <f t="shared" si="32"/>
        <v>256862.65</v>
      </c>
      <c r="AE43" s="337">
        <f t="shared" si="2"/>
        <v>2.035602593440122</v>
      </c>
    </row>
    <row r="44" spans="2:31" s="28" customFormat="1" ht="12.75">
      <c r="B44" s="33"/>
      <c r="C44" s="41"/>
      <c r="D44" s="41">
        <v>4300</v>
      </c>
      <c r="E44" s="42" t="s">
        <v>1000</v>
      </c>
      <c r="F44" s="65">
        <v>150000</v>
      </c>
      <c r="G44" s="43">
        <f>150000-50000</f>
        <v>100000</v>
      </c>
      <c r="H44" s="65">
        <v>-70000</v>
      </c>
      <c r="I44" s="44"/>
      <c r="J44" s="44">
        <v>232200</v>
      </c>
      <c r="K44" s="44"/>
      <c r="L44" s="44"/>
      <c r="M44" s="44"/>
      <c r="N44" s="44"/>
      <c r="O44" s="44"/>
      <c r="P44" s="45">
        <f>G44+H44+I44+J44+K44+L44+M44+N44+O44</f>
        <v>262200</v>
      </c>
      <c r="Q44" s="43">
        <v>2497.8</v>
      </c>
      <c r="R44" s="43"/>
      <c r="S44" s="43"/>
      <c r="T44" s="43">
        <v>597.8</v>
      </c>
      <c r="U44" s="43">
        <v>1345.05</v>
      </c>
      <c r="V44" s="43">
        <v>896.7</v>
      </c>
      <c r="W44" s="43"/>
      <c r="X44" s="43"/>
      <c r="Y44" s="43"/>
      <c r="Z44" s="43"/>
      <c r="AA44" s="43"/>
      <c r="AB44" s="43"/>
      <c r="AC44" s="46">
        <f>SUM(Q44:AB44)</f>
        <v>5337.35</v>
      </c>
      <c r="AD44" s="43">
        <f>P44-AC44</f>
        <v>256862.65</v>
      </c>
      <c r="AE44" s="338">
        <f t="shared" si="2"/>
        <v>2.035602593440122</v>
      </c>
    </row>
    <row r="45" spans="2:31" s="28" customFormat="1" ht="12.75">
      <c r="B45" s="33"/>
      <c r="C45" s="35">
        <v>71095</v>
      </c>
      <c r="D45" s="35"/>
      <c r="E45" s="36" t="s">
        <v>162</v>
      </c>
      <c r="F45" s="63">
        <f>F46</f>
        <v>0</v>
      </c>
      <c r="G45" s="37">
        <f>G46</f>
        <v>20000</v>
      </c>
      <c r="H45" s="38">
        <f>H46</f>
        <v>44000</v>
      </c>
      <c r="I45" s="38">
        <f aca="true" t="shared" si="33" ref="I45:O45">I46</f>
        <v>0</v>
      </c>
      <c r="J45" s="38">
        <f t="shared" si="33"/>
        <v>7000</v>
      </c>
      <c r="K45" s="38">
        <f t="shared" si="33"/>
        <v>0</v>
      </c>
      <c r="L45" s="38">
        <f t="shared" si="33"/>
        <v>0</v>
      </c>
      <c r="M45" s="38">
        <f t="shared" si="33"/>
        <v>0</v>
      </c>
      <c r="N45" s="38">
        <f t="shared" si="33"/>
        <v>0</v>
      </c>
      <c r="O45" s="38">
        <f t="shared" si="33"/>
        <v>0</v>
      </c>
      <c r="P45" s="39">
        <f>P46</f>
        <v>71000</v>
      </c>
      <c r="Q45" s="37">
        <f>Q46</f>
        <v>0</v>
      </c>
      <c r="R45" s="37">
        <f aca="true" t="shared" si="34" ref="R45:AB45">R46</f>
        <v>0</v>
      </c>
      <c r="S45" s="37">
        <f t="shared" si="34"/>
        <v>0</v>
      </c>
      <c r="T45" s="37">
        <f t="shared" si="34"/>
        <v>0</v>
      </c>
      <c r="U45" s="37">
        <f t="shared" si="34"/>
        <v>0</v>
      </c>
      <c r="V45" s="37">
        <f t="shared" si="34"/>
        <v>0</v>
      </c>
      <c r="W45" s="37">
        <f t="shared" si="34"/>
        <v>0</v>
      </c>
      <c r="X45" s="37">
        <f t="shared" si="34"/>
        <v>0</v>
      </c>
      <c r="Y45" s="37">
        <f t="shared" si="34"/>
        <v>0</v>
      </c>
      <c r="Z45" s="37">
        <f t="shared" si="34"/>
        <v>0</v>
      </c>
      <c r="AA45" s="37">
        <f t="shared" si="34"/>
        <v>0</v>
      </c>
      <c r="AB45" s="37">
        <f t="shared" si="34"/>
        <v>0</v>
      </c>
      <c r="AC45" s="37">
        <f>AC46</f>
        <v>0</v>
      </c>
      <c r="AD45" s="37">
        <f>AD46</f>
        <v>71000</v>
      </c>
      <c r="AE45" s="337">
        <f t="shared" si="2"/>
        <v>0</v>
      </c>
    </row>
    <row r="46" spans="2:31" s="28" customFormat="1" ht="12.75">
      <c r="B46" s="33"/>
      <c r="C46" s="41"/>
      <c r="D46" s="41">
        <v>4300</v>
      </c>
      <c r="E46" s="42" t="s">
        <v>1000</v>
      </c>
      <c r="F46" s="65"/>
      <c r="G46" s="43">
        <v>20000</v>
      </c>
      <c r="H46" s="44">
        <v>44000</v>
      </c>
      <c r="I46" s="44"/>
      <c r="J46" s="44">
        <v>7000</v>
      </c>
      <c r="K46" s="44"/>
      <c r="L46" s="44"/>
      <c r="M46" s="44"/>
      <c r="N46" s="44"/>
      <c r="O46" s="44"/>
      <c r="P46" s="45">
        <f>G46+H46+I46+J46+K46+L46+M46+N46+O46</f>
        <v>71000</v>
      </c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6">
        <f>SUM(Q46:AB46)</f>
        <v>0</v>
      </c>
      <c r="AD46" s="43">
        <f>P46-AC46</f>
        <v>71000</v>
      </c>
      <c r="AE46" s="338">
        <f t="shared" si="2"/>
        <v>0</v>
      </c>
    </row>
    <row r="47" spans="2:31" s="28" customFormat="1" ht="12.75">
      <c r="B47" s="53">
        <v>750</v>
      </c>
      <c r="C47" s="54"/>
      <c r="D47" s="54"/>
      <c r="E47" s="55" t="s">
        <v>187</v>
      </c>
      <c r="F47" s="62">
        <f>F48+F51+F60+F84</f>
        <v>2757050</v>
      </c>
      <c r="G47" s="51">
        <f>G48+G51+G60+G84</f>
        <v>2512550</v>
      </c>
      <c r="H47" s="52">
        <f aca="true" t="shared" si="35" ref="H47:AD47">H48+H51+H60+H84</f>
        <v>314225</v>
      </c>
      <c r="I47" s="52">
        <f t="shared" si="35"/>
        <v>0</v>
      </c>
      <c r="J47" s="52">
        <f t="shared" si="35"/>
        <v>94454</v>
      </c>
      <c r="K47" s="52">
        <f t="shared" si="35"/>
        <v>0</v>
      </c>
      <c r="L47" s="52">
        <f t="shared" si="35"/>
        <v>0</v>
      </c>
      <c r="M47" s="52">
        <f t="shared" si="35"/>
        <v>0</v>
      </c>
      <c r="N47" s="52">
        <f t="shared" si="35"/>
        <v>0</v>
      </c>
      <c r="O47" s="52">
        <f t="shared" si="35"/>
        <v>0</v>
      </c>
      <c r="P47" s="51">
        <f t="shared" si="35"/>
        <v>2921229</v>
      </c>
      <c r="Q47" s="51">
        <f t="shared" si="35"/>
        <v>206977.24000000002</v>
      </c>
      <c r="R47" s="51">
        <f t="shared" si="35"/>
        <v>256005.75000000003</v>
      </c>
      <c r="S47" s="51">
        <f t="shared" si="35"/>
        <v>193691.89</v>
      </c>
      <c r="T47" s="51">
        <f t="shared" si="35"/>
        <v>191233.84999999995</v>
      </c>
      <c r="U47" s="51">
        <f t="shared" si="35"/>
        <v>203890.78999999998</v>
      </c>
      <c r="V47" s="51">
        <f t="shared" si="35"/>
        <v>205381.11</v>
      </c>
      <c r="W47" s="51">
        <f t="shared" si="35"/>
        <v>0</v>
      </c>
      <c r="X47" s="51">
        <f t="shared" si="35"/>
        <v>0</v>
      </c>
      <c r="Y47" s="51">
        <f t="shared" si="35"/>
        <v>0</v>
      </c>
      <c r="Z47" s="51">
        <f t="shared" si="35"/>
        <v>0</v>
      </c>
      <c r="AA47" s="51">
        <f t="shared" si="35"/>
        <v>0</v>
      </c>
      <c r="AB47" s="51">
        <f t="shared" si="35"/>
        <v>0</v>
      </c>
      <c r="AC47" s="51">
        <f t="shared" si="35"/>
        <v>1257180.63</v>
      </c>
      <c r="AD47" s="51">
        <f t="shared" si="35"/>
        <v>1664048.3699999996</v>
      </c>
      <c r="AE47" s="336">
        <f t="shared" si="2"/>
        <v>43.03601771720053</v>
      </c>
    </row>
    <row r="48" spans="2:31" s="28" customFormat="1" ht="12.75">
      <c r="B48" s="33"/>
      <c r="C48" s="35">
        <v>75011</v>
      </c>
      <c r="D48" s="35"/>
      <c r="E48" s="36" t="s">
        <v>188</v>
      </c>
      <c r="F48" s="63">
        <f>SUM(F49:F50)</f>
        <v>57000</v>
      </c>
      <c r="G48" s="37">
        <f>SUM(G49:G50)</f>
        <v>57000</v>
      </c>
      <c r="H48" s="38">
        <f>SUM(H49:H50)</f>
        <v>0</v>
      </c>
      <c r="I48" s="38">
        <f aca="true" t="shared" si="36" ref="I48:O48">SUM(I49:I50)</f>
        <v>0</v>
      </c>
      <c r="J48" s="38">
        <f t="shared" si="36"/>
        <v>0</v>
      </c>
      <c r="K48" s="38">
        <f t="shared" si="36"/>
        <v>0</v>
      </c>
      <c r="L48" s="38">
        <f t="shared" si="36"/>
        <v>0</v>
      </c>
      <c r="M48" s="38">
        <f t="shared" si="36"/>
        <v>0</v>
      </c>
      <c r="N48" s="38">
        <f t="shared" si="36"/>
        <v>0</v>
      </c>
      <c r="O48" s="38">
        <f t="shared" si="36"/>
        <v>0</v>
      </c>
      <c r="P48" s="39">
        <f>SUM(P49:P50)</f>
        <v>57000</v>
      </c>
      <c r="Q48" s="37">
        <f>SUM(Q49:Q50)</f>
        <v>0</v>
      </c>
      <c r="R48" s="37">
        <f aca="true" t="shared" si="37" ref="R48:AB48">SUM(R49:R50)</f>
        <v>0</v>
      </c>
      <c r="S48" s="37">
        <f t="shared" si="37"/>
        <v>14102</v>
      </c>
      <c r="T48" s="37">
        <f t="shared" si="37"/>
        <v>0</v>
      </c>
      <c r="U48" s="37">
        <f t="shared" si="37"/>
        <v>0</v>
      </c>
      <c r="V48" s="37">
        <f t="shared" si="37"/>
        <v>16561</v>
      </c>
      <c r="W48" s="37">
        <f t="shared" si="37"/>
        <v>0</v>
      </c>
      <c r="X48" s="37">
        <f t="shared" si="37"/>
        <v>0</v>
      </c>
      <c r="Y48" s="37">
        <f t="shared" si="37"/>
        <v>0</v>
      </c>
      <c r="Z48" s="37">
        <f t="shared" si="37"/>
        <v>0</v>
      </c>
      <c r="AA48" s="37">
        <f t="shared" si="37"/>
        <v>0</v>
      </c>
      <c r="AB48" s="37">
        <f t="shared" si="37"/>
        <v>0</v>
      </c>
      <c r="AC48" s="37">
        <f>SUM(AC49:AC50)</f>
        <v>30663</v>
      </c>
      <c r="AD48" s="37">
        <f>SUM(AD49:AD50)</f>
        <v>26337</v>
      </c>
      <c r="AE48" s="337">
        <f t="shared" si="2"/>
        <v>53.794736842105266</v>
      </c>
    </row>
    <row r="49" spans="2:31" s="28" customFormat="1" ht="12.75">
      <c r="B49" s="33"/>
      <c r="C49" s="41"/>
      <c r="D49" s="41">
        <v>4010</v>
      </c>
      <c r="E49" s="42" t="s">
        <v>631</v>
      </c>
      <c r="F49" s="65">
        <v>48676</v>
      </c>
      <c r="G49" s="43">
        <v>48676</v>
      </c>
      <c r="H49" s="44"/>
      <c r="I49" s="44"/>
      <c r="J49" s="44"/>
      <c r="K49" s="44"/>
      <c r="L49" s="44"/>
      <c r="M49" s="44"/>
      <c r="N49" s="44"/>
      <c r="O49" s="44"/>
      <c r="P49" s="45">
        <f>G49+H49+I49+J49+K49+L49+M49+N49+O49</f>
        <v>48676</v>
      </c>
      <c r="Q49" s="43"/>
      <c r="R49" s="43"/>
      <c r="S49" s="43">
        <v>12042</v>
      </c>
      <c r="T49" s="43"/>
      <c r="U49" s="43"/>
      <c r="V49" s="43">
        <v>14388</v>
      </c>
      <c r="W49" s="43"/>
      <c r="X49" s="43"/>
      <c r="Y49" s="43"/>
      <c r="Z49" s="43"/>
      <c r="AA49" s="43"/>
      <c r="AB49" s="43"/>
      <c r="AC49" s="46">
        <f>SUM(Q49:AB49)</f>
        <v>26430</v>
      </c>
      <c r="AD49" s="43">
        <f>P49-AC49</f>
        <v>22246</v>
      </c>
      <c r="AE49" s="338">
        <f t="shared" si="2"/>
        <v>54.29780590023831</v>
      </c>
    </row>
    <row r="50" spans="2:31" s="28" customFormat="1" ht="12.75">
      <c r="B50" s="33"/>
      <c r="C50" s="41"/>
      <c r="D50" s="41">
        <v>4110</v>
      </c>
      <c r="E50" s="42" t="s">
        <v>632</v>
      </c>
      <c r="F50" s="65">
        <v>8324</v>
      </c>
      <c r="G50" s="43">
        <v>8324</v>
      </c>
      <c r="H50" s="44"/>
      <c r="I50" s="44"/>
      <c r="J50" s="44"/>
      <c r="K50" s="44"/>
      <c r="L50" s="44"/>
      <c r="M50" s="44"/>
      <c r="N50" s="44"/>
      <c r="O50" s="44"/>
      <c r="P50" s="45">
        <f>G50+H50+I50+J50+K50+L50+M50+N50+O50</f>
        <v>8324</v>
      </c>
      <c r="Q50" s="43"/>
      <c r="R50" s="43"/>
      <c r="S50" s="43">
        <v>2060</v>
      </c>
      <c r="T50" s="43"/>
      <c r="U50" s="43"/>
      <c r="V50" s="43">
        <v>2173</v>
      </c>
      <c r="W50" s="43"/>
      <c r="X50" s="43"/>
      <c r="Y50" s="43"/>
      <c r="Z50" s="43"/>
      <c r="AA50" s="43"/>
      <c r="AB50" s="43"/>
      <c r="AC50" s="46">
        <f>SUM(Q50:AB50)</f>
        <v>4233</v>
      </c>
      <c r="AD50" s="43">
        <f>P50-AC50</f>
        <v>4091</v>
      </c>
      <c r="AE50" s="338">
        <f t="shared" si="2"/>
        <v>50.85295530994714</v>
      </c>
    </row>
    <row r="51" spans="2:31" s="28" customFormat="1" ht="12.75">
      <c r="B51" s="33"/>
      <c r="C51" s="35">
        <v>75022</v>
      </c>
      <c r="D51" s="35"/>
      <c r="E51" s="36" t="s">
        <v>633</v>
      </c>
      <c r="F51" s="63">
        <f>SUM(F53:F58)</f>
        <v>230600</v>
      </c>
      <c r="G51" s="37">
        <f>SUM(G53:G59)</f>
        <v>210600</v>
      </c>
      <c r="H51" s="38">
        <f>SUM(H53:H59)</f>
        <v>0</v>
      </c>
      <c r="I51" s="38">
        <f aca="true" t="shared" si="38" ref="I51:O51">SUM(I53:I58)</f>
        <v>0</v>
      </c>
      <c r="J51" s="38">
        <f t="shared" si="38"/>
        <v>0</v>
      </c>
      <c r="K51" s="38">
        <f t="shared" si="38"/>
        <v>0</v>
      </c>
      <c r="L51" s="38">
        <f t="shared" si="38"/>
        <v>0</v>
      </c>
      <c r="M51" s="38">
        <f t="shared" si="38"/>
        <v>0</v>
      </c>
      <c r="N51" s="38">
        <f t="shared" si="38"/>
        <v>0</v>
      </c>
      <c r="O51" s="38">
        <f t="shared" si="38"/>
        <v>0</v>
      </c>
      <c r="P51" s="39">
        <f>SUM(P52:P59)</f>
        <v>210600</v>
      </c>
      <c r="Q51" s="37">
        <f>SUM(Q53:Q58)</f>
        <v>626.29</v>
      </c>
      <c r="R51" s="37">
        <f aca="true" t="shared" si="39" ref="R51:AB51">SUM(R53:R58)</f>
        <v>17491.19</v>
      </c>
      <c r="S51" s="37">
        <f t="shared" si="39"/>
        <v>15990.41</v>
      </c>
      <c r="T51" s="37">
        <f t="shared" si="39"/>
        <v>16800.09</v>
      </c>
      <c r="U51" s="37">
        <f t="shared" si="39"/>
        <v>26220.55</v>
      </c>
      <c r="V51" s="37">
        <f t="shared" si="39"/>
        <v>15446.75</v>
      </c>
      <c r="W51" s="37">
        <f t="shared" si="39"/>
        <v>0</v>
      </c>
      <c r="X51" s="37">
        <f t="shared" si="39"/>
        <v>0</v>
      </c>
      <c r="Y51" s="37">
        <f t="shared" si="39"/>
        <v>0</v>
      </c>
      <c r="Z51" s="37">
        <f t="shared" si="39"/>
        <v>0</v>
      </c>
      <c r="AA51" s="37">
        <f t="shared" si="39"/>
        <v>0</v>
      </c>
      <c r="AB51" s="37">
        <f t="shared" si="39"/>
        <v>0</v>
      </c>
      <c r="AC51" s="37">
        <f>SUM(AC52:AC59)</f>
        <v>92575.27999999998</v>
      </c>
      <c r="AD51" s="37">
        <f>SUM(AD52:AD59)</f>
        <v>118024.71999999999</v>
      </c>
      <c r="AE51" s="337">
        <f t="shared" si="2"/>
        <v>43.9578727445394</v>
      </c>
    </row>
    <row r="52" spans="2:31" s="28" customFormat="1" ht="51" hidden="1">
      <c r="B52" s="33"/>
      <c r="C52" s="35"/>
      <c r="D52" s="41">
        <v>2710</v>
      </c>
      <c r="E52" s="42" t="s">
        <v>1008</v>
      </c>
      <c r="F52" s="63"/>
      <c r="G52" s="37"/>
      <c r="H52" s="38"/>
      <c r="I52" s="38"/>
      <c r="J52" s="38"/>
      <c r="K52" s="38"/>
      <c r="L52" s="38"/>
      <c r="M52" s="38"/>
      <c r="N52" s="38"/>
      <c r="O52" s="38"/>
      <c r="P52" s="45">
        <f aca="true" t="shared" si="40" ref="P52:P59">G52+H52+I52+J52+K52+L52+M52+N52+O52</f>
        <v>0</v>
      </c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46">
        <f>SUM(Q52:AB52)</f>
        <v>0</v>
      </c>
      <c r="AD52" s="43">
        <f>P52-AC52</f>
        <v>0</v>
      </c>
      <c r="AE52" s="338" t="e">
        <f>AC52*100/P52</f>
        <v>#DIV/0!</v>
      </c>
    </row>
    <row r="53" spans="2:31" s="28" customFormat="1" ht="12.75">
      <c r="B53" s="33"/>
      <c r="C53" s="41"/>
      <c r="D53" s="41">
        <v>3030</v>
      </c>
      <c r="E53" s="42" t="s">
        <v>987</v>
      </c>
      <c r="F53" s="65">
        <v>129000</v>
      </c>
      <c r="G53" s="43">
        <v>129000</v>
      </c>
      <c r="H53" s="44"/>
      <c r="I53" s="44"/>
      <c r="J53" s="44"/>
      <c r="K53" s="44"/>
      <c r="L53" s="44"/>
      <c r="M53" s="44"/>
      <c r="N53" s="44"/>
      <c r="O53" s="44"/>
      <c r="P53" s="45">
        <f t="shared" si="40"/>
        <v>129000</v>
      </c>
      <c r="Q53" s="43"/>
      <c r="R53" s="43">
        <v>10690</v>
      </c>
      <c r="S53" s="43">
        <v>10750</v>
      </c>
      <c r="T53" s="43">
        <v>10545</v>
      </c>
      <c r="U53" s="43">
        <v>10705</v>
      </c>
      <c r="V53" s="43">
        <v>10280</v>
      </c>
      <c r="W53" s="43"/>
      <c r="X53" s="43"/>
      <c r="Y53" s="43"/>
      <c r="Z53" s="43"/>
      <c r="AA53" s="43"/>
      <c r="AB53" s="43"/>
      <c r="AC53" s="46">
        <f aca="true" t="shared" si="41" ref="AC53:AC59">SUM(Q53:AB53)</f>
        <v>52970</v>
      </c>
      <c r="AD53" s="43">
        <f aca="true" t="shared" si="42" ref="AD53:AD59">P53-AC53</f>
        <v>76030</v>
      </c>
      <c r="AE53" s="338">
        <f t="shared" si="2"/>
        <v>41.06201550387597</v>
      </c>
    </row>
    <row r="54" spans="2:31" s="28" customFormat="1" ht="12.75">
      <c r="B54" s="33"/>
      <c r="C54" s="41"/>
      <c r="D54" s="41">
        <v>4210</v>
      </c>
      <c r="E54" s="42" t="s">
        <v>998</v>
      </c>
      <c r="F54" s="65">
        <f>2500+29500+200+400</f>
        <v>32600</v>
      </c>
      <c r="G54" s="43">
        <f>2500+29500+200+400</f>
        <v>32600</v>
      </c>
      <c r="H54" s="44"/>
      <c r="I54" s="44"/>
      <c r="J54" s="44"/>
      <c r="K54" s="44"/>
      <c r="L54" s="44"/>
      <c r="M54" s="44"/>
      <c r="N54" s="44"/>
      <c r="O54" s="44"/>
      <c r="P54" s="45">
        <f t="shared" si="40"/>
        <v>32600</v>
      </c>
      <c r="Q54" s="43"/>
      <c r="R54" s="43">
        <v>627.95</v>
      </c>
      <c r="S54" s="43">
        <v>1896.37</v>
      </c>
      <c r="T54" s="43">
        <f>2189.16+116.53</f>
        <v>2305.69</v>
      </c>
      <c r="U54" s="43">
        <v>978.14</v>
      </c>
      <c r="V54" s="43">
        <v>1155.45</v>
      </c>
      <c r="W54" s="43"/>
      <c r="X54" s="43"/>
      <c r="Y54" s="43"/>
      <c r="Z54" s="43"/>
      <c r="AA54" s="43"/>
      <c r="AB54" s="43"/>
      <c r="AC54" s="46">
        <f t="shared" si="41"/>
        <v>6963.6</v>
      </c>
      <c r="AD54" s="43">
        <f t="shared" si="42"/>
        <v>25636.4</v>
      </c>
      <c r="AE54" s="338">
        <f t="shared" si="2"/>
        <v>21.360736196319017</v>
      </c>
    </row>
    <row r="55" spans="2:31" s="28" customFormat="1" ht="12.75">
      <c r="B55" s="33"/>
      <c r="C55" s="41"/>
      <c r="D55" s="41">
        <v>4260</v>
      </c>
      <c r="E55" s="42" t="s">
        <v>634</v>
      </c>
      <c r="F55" s="65">
        <v>6000</v>
      </c>
      <c r="G55" s="43">
        <v>6000</v>
      </c>
      <c r="H55" s="44"/>
      <c r="I55" s="44"/>
      <c r="J55" s="44"/>
      <c r="K55" s="44"/>
      <c r="L55" s="44"/>
      <c r="M55" s="44"/>
      <c r="N55" s="44"/>
      <c r="O55" s="44"/>
      <c r="P55" s="45">
        <f t="shared" si="40"/>
        <v>6000</v>
      </c>
      <c r="Q55" s="43">
        <v>626.29</v>
      </c>
      <c r="R55" s="43">
        <v>1076.63</v>
      </c>
      <c r="S55" s="43">
        <v>563.58</v>
      </c>
      <c r="T55" s="43">
        <v>876.9</v>
      </c>
      <c r="U55" s="43">
        <v>463.18</v>
      </c>
      <c r="V55" s="43">
        <v>587.8</v>
      </c>
      <c r="W55" s="43"/>
      <c r="X55" s="43"/>
      <c r="Y55" s="43"/>
      <c r="Z55" s="43"/>
      <c r="AA55" s="43"/>
      <c r="AB55" s="43"/>
      <c r="AC55" s="46">
        <f t="shared" si="41"/>
        <v>4194.38</v>
      </c>
      <c r="AD55" s="43">
        <f t="shared" si="42"/>
        <v>1805.62</v>
      </c>
      <c r="AE55" s="338">
        <f>AC55*100/P55</f>
        <v>69.90633333333334</v>
      </c>
    </row>
    <row r="56" spans="2:31" s="28" customFormat="1" ht="12.75">
      <c r="B56" s="33"/>
      <c r="C56" s="41"/>
      <c r="D56" s="41">
        <v>4300</v>
      </c>
      <c r="E56" s="42" t="s">
        <v>1000</v>
      </c>
      <c r="F56" s="65">
        <f>25000+15000+10000+10000</f>
        <v>60000</v>
      </c>
      <c r="G56" s="43">
        <f>25000+15000+10000+10000-20000</f>
        <v>40000</v>
      </c>
      <c r="H56" s="65">
        <v>-2000</v>
      </c>
      <c r="I56" s="44"/>
      <c r="J56" s="65"/>
      <c r="K56" s="44"/>
      <c r="L56" s="44"/>
      <c r="M56" s="44"/>
      <c r="N56" s="44"/>
      <c r="O56" s="44"/>
      <c r="P56" s="45">
        <f t="shared" si="40"/>
        <v>38000</v>
      </c>
      <c r="Q56" s="43"/>
      <c r="R56" s="43">
        <v>5038.1</v>
      </c>
      <c r="S56" s="43">
        <v>2780.46</v>
      </c>
      <c r="T56" s="43">
        <v>3072.5</v>
      </c>
      <c r="U56" s="43">
        <v>14074.23</v>
      </c>
      <c r="V56" s="43">
        <v>3423.5</v>
      </c>
      <c r="W56" s="43"/>
      <c r="X56" s="43"/>
      <c r="Y56" s="43"/>
      <c r="Z56" s="43"/>
      <c r="AA56" s="43"/>
      <c r="AB56" s="43"/>
      <c r="AC56" s="46">
        <f t="shared" si="41"/>
        <v>28388.79</v>
      </c>
      <c r="AD56" s="43">
        <f t="shared" si="42"/>
        <v>9611.21</v>
      </c>
      <c r="AE56" s="338">
        <f t="shared" si="2"/>
        <v>74.70734210526315</v>
      </c>
    </row>
    <row r="57" spans="2:31" s="28" customFormat="1" ht="12.75">
      <c r="B57" s="33"/>
      <c r="C57" s="41"/>
      <c r="D57" s="41">
        <v>4410</v>
      </c>
      <c r="E57" s="42" t="s">
        <v>635</v>
      </c>
      <c r="F57" s="65">
        <v>2500</v>
      </c>
      <c r="G57" s="43">
        <v>2500</v>
      </c>
      <c r="H57" s="44"/>
      <c r="I57" s="44"/>
      <c r="J57" s="44"/>
      <c r="K57" s="44"/>
      <c r="L57" s="44"/>
      <c r="M57" s="44"/>
      <c r="N57" s="44"/>
      <c r="O57" s="44"/>
      <c r="P57" s="45">
        <f t="shared" si="40"/>
        <v>2500</v>
      </c>
      <c r="Q57" s="43"/>
      <c r="R57" s="43">
        <v>58.51</v>
      </c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6">
        <f t="shared" si="41"/>
        <v>58.51</v>
      </c>
      <c r="AD57" s="43">
        <f t="shared" si="42"/>
        <v>2441.49</v>
      </c>
      <c r="AE57" s="338">
        <f t="shared" si="2"/>
        <v>2.3404</v>
      </c>
    </row>
    <row r="58" spans="2:31" s="28" customFormat="1" ht="12.75">
      <c r="B58" s="33"/>
      <c r="C58" s="41"/>
      <c r="D58" s="41">
        <v>4420</v>
      </c>
      <c r="E58" s="42" t="s">
        <v>636</v>
      </c>
      <c r="F58" s="65">
        <v>500</v>
      </c>
      <c r="G58" s="43">
        <v>500</v>
      </c>
      <c r="H58" s="44"/>
      <c r="I58" s="44"/>
      <c r="J58" s="44"/>
      <c r="K58" s="44"/>
      <c r="L58" s="44"/>
      <c r="M58" s="44"/>
      <c r="N58" s="44"/>
      <c r="O58" s="44"/>
      <c r="P58" s="45">
        <f t="shared" si="40"/>
        <v>500</v>
      </c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6">
        <f t="shared" si="41"/>
        <v>0</v>
      </c>
      <c r="AD58" s="43">
        <f t="shared" si="42"/>
        <v>500</v>
      </c>
      <c r="AE58" s="338">
        <f t="shared" si="2"/>
        <v>0</v>
      </c>
    </row>
    <row r="59" spans="2:31" s="28" customFormat="1" ht="25.5">
      <c r="B59" s="33"/>
      <c r="C59" s="41"/>
      <c r="D59" s="41">
        <v>4700</v>
      </c>
      <c r="E59" s="42" t="s">
        <v>805</v>
      </c>
      <c r="F59" s="65"/>
      <c r="G59" s="43"/>
      <c r="H59" s="44">
        <v>2000</v>
      </c>
      <c r="I59" s="44"/>
      <c r="J59" s="44"/>
      <c r="K59" s="44"/>
      <c r="L59" s="44"/>
      <c r="M59" s="44"/>
      <c r="N59" s="44"/>
      <c r="O59" s="44"/>
      <c r="P59" s="45">
        <f t="shared" si="40"/>
        <v>2000</v>
      </c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6">
        <f t="shared" si="41"/>
        <v>0</v>
      </c>
      <c r="AD59" s="43">
        <f t="shared" si="42"/>
        <v>2000</v>
      </c>
      <c r="AE59" s="338">
        <f t="shared" si="2"/>
        <v>0</v>
      </c>
    </row>
    <row r="60" spans="2:31" s="28" customFormat="1" ht="12.75">
      <c r="B60" s="33"/>
      <c r="C60" s="35">
        <v>75023</v>
      </c>
      <c r="D60" s="35"/>
      <c r="E60" s="36" t="s">
        <v>356</v>
      </c>
      <c r="F60" s="63">
        <f>SUM(F61:F83)</f>
        <v>2148450</v>
      </c>
      <c r="G60" s="37">
        <f>SUM(G61:G83)</f>
        <v>2068950</v>
      </c>
      <c r="H60" s="38">
        <f>SUM(H61:H83)</f>
        <v>3000</v>
      </c>
      <c r="I60" s="38">
        <f aca="true" t="shared" si="43" ref="I60:O60">SUM(I61:I83)</f>
        <v>0</v>
      </c>
      <c r="J60" s="38">
        <f t="shared" si="43"/>
        <v>55500</v>
      </c>
      <c r="K60" s="38">
        <f t="shared" si="43"/>
        <v>0</v>
      </c>
      <c r="L60" s="38">
        <f t="shared" si="43"/>
        <v>0</v>
      </c>
      <c r="M60" s="38">
        <f t="shared" si="43"/>
        <v>0</v>
      </c>
      <c r="N60" s="38">
        <f t="shared" si="43"/>
        <v>0</v>
      </c>
      <c r="O60" s="38">
        <f t="shared" si="43"/>
        <v>0</v>
      </c>
      <c r="P60" s="39">
        <f>SUM(P61:P83)</f>
        <v>2127450</v>
      </c>
      <c r="Q60" s="37">
        <f>SUM(Q61:Q83)</f>
        <v>194609.96000000002</v>
      </c>
      <c r="R60" s="37">
        <f aca="true" t="shared" si="44" ref="R60:AB60">SUM(R61:R83)</f>
        <v>223697.87000000002</v>
      </c>
      <c r="S60" s="37">
        <f t="shared" si="44"/>
        <v>140890.38</v>
      </c>
      <c r="T60" s="37">
        <f>SUM(T61:T83)</f>
        <v>150190.47999999995</v>
      </c>
      <c r="U60" s="37">
        <f>SUM(U61:U83)</f>
        <v>162325.96</v>
      </c>
      <c r="V60" s="37">
        <f t="shared" si="44"/>
        <v>135367.50999999998</v>
      </c>
      <c r="W60" s="37">
        <f t="shared" si="44"/>
        <v>0</v>
      </c>
      <c r="X60" s="37">
        <f t="shared" si="44"/>
        <v>0</v>
      </c>
      <c r="Y60" s="37">
        <f t="shared" si="44"/>
        <v>0</v>
      </c>
      <c r="Z60" s="37">
        <f t="shared" si="44"/>
        <v>0</v>
      </c>
      <c r="AA60" s="37">
        <f t="shared" si="44"/>
        <v>0</v>
      </c>
      <c r="AB60" s="37">
        <f t="shared" si="44"/>
        <v>0</v>
      </c>
      <c r="AC60" s="37">
        <f>SUM(AC61:AC83)</f>
        <v>1007082.16</v>
      </c>
      <c r="AD60" s="37">
        <f>SUM(AD61:AD83)</f>
        <v>1120367.8399999999</v>
      </c>
      <c r="AE60" s="337">
        <f t="shared" si="2"/>
        <v>47.337524266140214</v>
      </c>
    </row>
    <row r="61" spans="2:31" s="28" customFormat="1" ht="25.5">
      <c r="B61" s="33"/>
      <c r="C61" s="41"/>
      <c r="D61" s="41">
        <v>3020</v>
      </c>
      <c r="E61" s="42" t="s">
        <v>637</v>
      </c>
      <c r="F61" s="65">
        <v>10650</v>
      </c>
      <c r="G61" s="43">
        <v>10650</v>
      </c>
      <c r="H61" s="44"/>
      <c r="I61" s="44"/>
      <c r="J61" s="44"/>
      <c r="K61" s="44"/>
      <c r="L61" s="44"/>
      <c r="M61" s="44"/>
      <c r="N61" s="44"/>
      <c r="O61" s="44"/>
      <c r="P61" s="45">
        <f aca="true" t="shared" si="45" ref="P61:P83">G61+H61+I61+J61+K61+L61+M61+N61+O61</f>
        <v>10650</v>
      </c>
      <c r="Q61" s="43"/>
      <c r="R61" s="43">
        <v>1409.22</v>
      </c>
      <c r="S61" s="43">
        <v>198.12</v>
      </c>
      <c r="T61" s="43">
        <v>48</v>
      </c>
      <c r="U61" s="43">
        <v>283.74</v>
      </c>
      <c r="V61" s="43">
        <v>865.74</v>
      </c>
      <c r="W61" s="43"/>
      <c r="X61" s="43"/>
      <c r="Y61" s="43"/>
      <c r="Z61" s="43"/>
      <c r="AA61" s="43"/>
      <c r="AB61" s="43"/>
      <c r="AC61" s="46">
        <f>SUM(Q61:AB61)</f>
        <v>2804.82</v>
      </c>
      <c r="AD61" s="43">
        <f aca="true" t="shared" si="46" ref="AD61:AD83">P61-AC61</f>
        <v>7845.18</v>
      </c>
      <c r="AE61" s="338">
        <f t="shared" si="2"/>
        <v>26.336338028169013</v>
      </c>
    </row>
    <row r="62" spans="2:31" s="28" customFormat="1" ht="12.75">
      <c r="B62" s="33"/>
      <c r="C62" s="41"/>
      <c r="D62" s="41">
        <v>4010</v>
      </c>
      <c r="E62" s="42" t="s">
        <v>631</v>
      </c>
      <c r="F62" s="65">
        <v>1162700</v>
      </c>
      <c r="G62" s="43">
        <v>1162700</v>
      </c>
      <c r="H62" s="44"/>
      <c r="I62" s="44"/>
      <c r="J62" s="44">
        <v>55500</v>
      </c>
      <c r="K62" s="44"/>
      <c r="L62" s="44"/>
      <c r="M62" s="44"/>
      <c r="N62" s="44"/>
      <c r="O62" s="44"/>
      <c r="P62" s="45">
        <f t="shared" si="45"/>
        <v>1218200</v>
      </c>
      <c r="Q62" s="43">
        <v>96969.6</v>
      </c>
      <c r="R62" s="43">
        <f>93535.25-49</f>
        <v>93486.25</v>
      </c>
      <c r="S62" s="43">
        <v>82122.07</v>
      </c>
      <c r="T62" s="43">
        <v>101941.4</v>
      </c>
      <c r="U62" s="43">
        <v>99765.4</v>
      </c>
      <c r="V62" s="43">
        <v>87711.17</v>
      </c>
      <c r="W62" s="43"/>
      <c r="X62" s="43"/>
      <c r="Y62" s="43"/>
      <c r="Z62" s="43"/>
      <c r="AA62" s="43"/>
      <c r="AB62" s="43"/>
      <c r="AC62" s="46">
        <f aca="true" t="shared" si="47" ref="AC62:AC83">SUM(Q62:AB62)</f>
        <v>561995.8900000001</v>
      </c>
      <c r="AD62" s="43">
        <f t="shared" si="46"/>
        <v>656204.1099999999</v>
      </c>
      <c r="AE62" s="338">
        <f t="shared" si="2"/>
        <v>46.13330241339683</v>
      </c>
    </row>
    <row r="63" spans="2:31" s="28" customFormat="1" ht="12.75">
      <c r="B63" s="33"/>
      <c r="C63" s="41"/>
      <c r="D63" s="41">
        <v>4040</v>
      </c>
      <c r="E63" s="42" t="s">
        <v>638</v>
      </c>
      <c r="F63" s="65">
        <v>85000</v>
      </c>
      <c r="G63" s="43">
        <v>85000</v>
      </c>
      <c r="H63" s="44"/>
      <c r="I63" s="44"/>
      <c r="J63" s="44"/>
      <c r="K63" s="44"/>
      <c r="L63" s="44"/>
      <c r="M63" s="44"/>
      <c r="N63" s="44"/>
      <c r="O63" s="44"/>
      <c r="P63" s="45">
        <f t="shared" si="45"/>
        <v>85000</v>
      </c>
      <c r="Q63" s="43">
        <v>58021.05</v>
      </c>
      <c r="R63" s="43">
        <v>26289.67</v>
      </c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6">
        <f t="shared" si="47"/>
        <v>84310.72</v>
      </c>
      <c r="AD63" s="43">
        <f t="shared" si="46"/>
        <v>689.2799999999988</v>
      </c>
      <c r="AE63" s="338">
        <f t="shared" si="2"/>
        <v>99.18908235294117</v>
      </c>
    </row>
    <row r="64" spans="2:31" s="28" customFormat="1" ht="12.75">
      <c r="B64" s="33"/>
      <c r="C64" s="41"/>
      <c r="D64" s="41">
        <v>4110</v>
      </c>
      <c r="E64" s="42" t="s">
        <v>632</v>
      </c>
      <c r="F64" s="65">
        <v>210000</v>
      </c>
      <c r="G64" s="43">
        <v>190000</v>
      </c>
      <c r="H64" s="44"/>
      <c r="I64" s="44"/>
      <c r="J64" s="44"/>
      <c r="K64" s="44"/>
      <c r="L64" s="44"/>
      <c r="M64" s="44"/>
      <c r="N64" s="44"/>
      <c r="O64" s="44"/>
      <c r="P64" s="45">
        <f t="shared" si="45"/>
        <v>190000</v>
      </c>
      <c r="Q64" s="43">
        <v>11971.16</v>
      </c>
      <c r="R64" s="43">
        <v>26387.2</v>
      </c>
      <c r="S64" s="43">
        <v>12414.81</v>
      </c>
      <c r="T64" s="43">
        <v>14808.59</v>
      </c>
      <c r="U64" s="43">
        <v>15684.49</v>
      </c>
      <c r="V64" s="43">
        <v>12160.28</v>
      </c>
      <c r="W64" s="43"/>
      <c r="X64" s="43"/>
      <c r="Y64" s="43"/>
      <c r="Z64" s="43"/>
      <c r="AA64" s="43"/>
      <c r="AB64" s="43"/>
      <c r="AC64" s="46">
        <f t="shared" si="47"/>
        <v>93426.53</v>
      </c>
      <c r="AD64" s="43">
        <f t="shared" si="46"/>
        <v>96573.47</v>
      </c>
      <c r="AE64" s="338">
        <f t="shared" si="2"/>
        <v>49.171857894736846</v>
      </c>
    </row>
    <row r="65" spans="2:31" s="28" customFormat="1" ht="12.75">
      <c r="B65" s="33"/>
      <c r="C65" s="41"/>
      <c r="D65" s="41">
        <v>4120</v>
      </c>
      <c r="E65" s="42" t="s">
        <v>639</v>
      </c>
      <c r="F65" s="65">
        <v>30100</v>
      </c>
      <c r="G65" s="43">
        <v>30100</v>
      </c>
      <c r="H65" s="44"/>
      <c r="I65" s="44"/>
      <c r="J65" s="44"/>
      <c r="K65" s="44"/>
      <c r="L65" s="44"/>
      <c r="M65" s="44"/>
      <c r="N65" s="44"/>
      <c r="O65" s="44"/>
      <c r="P65" s="45">
        <f t="shared" si="45"/>
        <v>30100</v>
      </c>
      <c r="Q65" s="43">
        <v>2459.39</v>
      </c>
      <c r="R65" s="43">
        <v>4404.08</v>
      </c>
      <c r="S65" s="43">
        <v>2363.69</v>
      </c>
      <c r="T65" s="43">
        <v>2399.89</v>
      </c>
      <c r="U65" s="43">
        <v>2605.73</v>
      </c>
      <c r="V65" s="43">
        <v>2440.17</v>
      </c>
      <c r="W65" s="43"/>
      <c r="X65" s="43"/>
      <c r="Y65" s="43"/>
      <c r="Z65" s="43"/>
      <c r="AA65" s="43"/>
      <c r="AB65" s="43"/>
      <c r="AC65" s="46">
        <f t="shared" si="47"/>
        <v>16672.949999999997</v>
      </c>
      <c r="AD65" s="43">
        <f t="shared" si="46"/>
        <v>13427.050000000003</v>
      </c>
      <c r="AE65" s="338">
        <f t="shared" si="2"/>
        <v>55.391860465116274</v>
      </c>
    </row>
    <row r="66" spans="2:31" s="28" customFormat="1" ht="12.75">
      <c r="B66" s="33"/>
      <c r="C66" s="41"/>
      <c r="D66" s="41">
        <v>4170</v>
      </c>
      <c r="E66" s="42" t="s">
        <v>640</v>
      </c>
      <c r="F66" s="65">
        <v>4000</v>
      </c>
      <c r="G66" s="43">
        <v>4000</v>
      </c>
      <c r="H66" s="44"/>
      <c r="I66" s="44"/>
      <c r="J66" s="44"/>
      <c r="K66" s="44"/>
      <c r="L66" s="44"/>
      <c r="M66" s="44"/>
      <c r="N66" s="44"/>
      <c r="O66" s="44"/>
      <c r="P66" s="45">
        <f t="shared" si="45"/>
        <v>4000</v>
      </c>
      <c r="Q66" s="43"/>
      <c r="R66" s="43"/>
      <c r="S66" s="43"/>
      <c r="T66" s="43"/>
      <c r="U66" s="43">
        <v>3342</v>
      </c>
      <c r="V66" s="43">
        <v>658</v>
      </c>
      <c r="W66" s="43"/>
      <c r="X66" s="43"/>
      <c r="Y66" s="43"/>
      <c r="Z66" s="43"/>
      <c r="AA66" s="43"/>
      <c r="AB66" s="43"/>
      <c r="AC66" s="46">
        <f>SUM(Q66:AB66)</f>
        <v>4000</v>
      </c>
      <c r="AD66" s="43">
        <f>P66-AC66</f>
        <v>0</v>
      </c>
      <c r="AE66" s="338">
        <f t="shared" si="2"/>
        <v>100</v>
      </c>
    </row>
    <row r="67" spans="2:31" s="28" customFormat="1" ht="12.75">
      <c r="B67" s="33"/>
      <c r="C67" s="41"/>
      <c r="D67" s="41">
        <v>4210</v>
      </c>
      <c r="E67" s="42" t="s">
        <v>998</v>
      </c>
      <c r="F67" s="65">
        <f>18000+6000+13000+7100+27100+3000+5000</f>
        <v>79200</v>
      </c>
      <c r="G67" s="43">
        <f>18000+6000+13000+7100+27100+3000+5000</f>
        <v>79200</v>
      </c>
      <c r="H67" s="44"/>
      <c r="I67" s="44"/>
      <c r="J67" s="44"/>
      <c r="K67" s="44"/>
      <c r="L67" s="44"/>
      <c r="M67" s="44"/>
      <c r="N67" s="44"/>
      <c r="O67" s="44"/>
      <c r="P67" s="45">
        <f t="shared" si="45"/>
        <v>79200</v>
      </c>
      <c r="Q67" s="43">
        <v>4506.38</v>
      </c>
      <c r="R67" s="43">
        <v>11076.09</v>
      </c>
      <c r="S67" s="43">
        <f>4819.03-408.71</f>
        <v>4410.32</v>
      </c>
      <c r="T67" s="43">
        <f>2608.86-116.53</f>
        <v>2492.33</v>
      </c>
      <c r="U67" s="43">
        <v>3583.25</v>
      </c>
      <c r="V67" s="43">
        <v>2552.76</v>
      </c>
      <c r="W67" s="43"/>
      <c r="X67" s="43"/>
      <c r="Y67" s="43"/>
      <c r="Z67" s="43"/>
      <c r="AA67" s="43"/>
      <c r="AB67" s="43"/>
      <c r="AC67" s="46">
        <f t="shared" si="47"/>
        <v>28621.130000000005</v>
      </c>
      <c r="AD67" s="43">
        <f t="shared" si="46"/>
        <v>50578.869999999995</v>
      </c>
      <c r="AE67" s="338">
        <f t="shared" si="2"/>
        <v>36.13779040404041</v>
      </c>
    </row>
    <row r="68" spans="2:31" s="28" customFormat="1" ht="12.75">
      <c r="B68" s="33"/>
      <c r="C68" s="41"/>
      <c r="D68" s="41">
        <v>4260</v>
      </c>
      <c r="E68" s="42" t="s">
        <v>634</v>
      </c>
      <c r="F68" s="65">
        <v>35000</v>
      </c>
      <c r="G68" s="43">
        <v>35000</v>
      </c>
      <c r="H68" s="44"/>
      <c r="I68" s="44"/>
      <c r="J68" s="44"/>
      <c r="K68" s="44"/>
      <c r="L68" s="44"/>
      <c r="M68" s="44"/>
      <c r="N68" s="44"/>
      <c r="O68" s="44"/>
      <c r="P68" s="45">
        <f t="shared" si="45"/>
        <v>35000</v>
      </c>
      <c r="Q68" s="43">
        <v>2892.25</v>
      </c>
      <c r="R68" s="43">
        <v>6200.71</v>
      </c>
      <c r="S68" s="43">
        <v>3067.31</v>
      </c>
      <c r="T68" s="43">
        <v>6336.2</v>
      </c>
      <c r="U68" s="43">
        <v>2411.58</v>
      </c>
      <c r="V68" s="43">
        <v>4557.87</v>
      </c>
      <c r="W68" s="43"/>
      <c r="X68" s="43"/>
      <c r="Y68" s="43"/>
      <c r="Z68" s="43"/>
      <c r="AA68" s="43"/>
      <c r="AB68" s="43"/>
      <c r="AC68" s="46">
        <f t="shared" si="47"/>
        <v>25465.919999999995</v>
      </c>
      <c r="AD68" s="43">
        <f t="shared" si="46"/>
        <v>9534.080000000005</v>
      </c>
      <c r="AE68" s="338">
        <f t="shared" si="2"/>
        <v>72.75977142857141</v>
      </c>
    </row>
    <row r="69" spans="2:31" s="28" customFormat="1" ht="12.75">
      <c r="B69" s="33"/>
      <c r="C69" s="41"/>
      <c r="D69" s="41">
        <v>4270</v>
      </c>
      <c r="E69" s="42" t="s">
        <v>999</v>
      </c>
      <c r="F69" s="65">
        <f>15000+43100+7000</f>
        <v>65100</v>
      </c>
      <c r="G69" s="43">
        <f>15000+43100+7000</f>
        <v>65100</v>
      </c>
      <c r="H69" s="44"/>
      <c r="I69" s="44"/>
      <c r="J69" s="44"/>
      <c r="K69" s="44"/>
      <c r="L69" s="44"/>
      <c r="M69" s="44"/>
      <c r="N69" s="44"/>
      <c r="O69" s="44"/>
      <c r="P69" s="45">
        <f t="shared" si="45"/>
        <v>65100</v>
      </c>
      <c r="Q69" s="43">
        <v>165</v>
      </c>
      <c r="R69" s="43">
        <v>3114.32</v>
      </c>
      <c r="S69" s="43">
        <v>2345.72</v>
      </c>
      <c r="T69" s="43">
        <v>2345.72</v>
      </c>
      <c r="U69" s="43">
        <v>3008.67</v>
      </c>
      <c r="V69" s="43">
        <v>3653.56</v>
      </c>
      <c r="W69" s="43"/>
      <c r="X69" s="43"/>
      <c r="Y69" s="43"/>
      <c r="Z69" s="43"/>
      <c r="AA69" s="43"/>
      <c r="AB69" s="43"/>
      <c r="AC69" s="46">
        <f t="shared" si="47"/>
        <v>14632.99</v>
      </c>
      <c r="AD69" s="43">
        <f t="shared" si="46"/>
        <v>50467.01</v>
      </c>
      <c r="AE69" s="338">
        <f aca="true" t="shared" si="48" ref="AE69:AE141">AC69*100/P69</f>
        <v>22.477711213517665</v>
      </c>
    </row>
    <row r="70" spans="2:31" s="28" customFormat="1" ht="12.75">
      <c r="B70" s="33"/>
      <c r="C70" s="41"/>
      <c r="D70" s="41">
        <v>4280</v>
      </c>
      <c r="E70" s="42" t="s">
        <v>641</v>
      </c>
      <c r="F70" s="65">
        <v>3400</v>
      </c>
      <c r="G70" s="43">
        <v>3400</v>
      </c>
      <c r="H70" s="44"/>
      <c r="I70" s="44"/>
      <c r="J70" s="44"/>
      <c r="K70" s="44"/>
      <c r="L70" s="44"/>
      <c r="M70" s="44"/>
      <c r="N70" s="44"/>
      <c r="O70" s="44"/>
      <c r="P70" s="45">
        <f t="shared" si="45"/>
        <v>3400</v>
      </c>
      <c r="Q70" s="43">
        <v>242</v>
      </c>
      <c r="R70" s="43"/>
      <c r="S70" s="43"/>
      <c r="T70" s="43"/>
      <c r="U70" s="43">
        <v>111</v>
      </c>
      <c r="V70" s="43"/>
      <c r="W70" s="43"/>
      <c r="X70" s="43"/>
      <c r="Y70" s="43"/>
      <c r="Z70" s="43"/>
      <c r="AA70" s="43"/>
      <c r="AB70" s="43"/>
      <c r="AC70" s="46">
        <f>SUM(Q70:AB70)</f>
        <v>353</v>
      </c>
      <c r="AD70" s="43">
        <f>P70-AC70</f>
        <v>3047</v>
      </c>
      <c r="AE70" s="338">
        <f>AC70*100/P70</f>
        <v>10.382352941176471</v>
      </c>
    </row>
    <row r="71" spans="2:31" s="28" customFormat="1" ht="12.75">
      <c r="B71" s="33"/>
      <c r="C71" s="41"/>
      <c r="D71" s="41">
        <v>4300</v>
      </c>
      <c r="E71" s="42" t="s">
        <v>1000</v>
      </c>
      <c r="F71" s="65">
        <f>44800+600+5000+3000+15000+25000</f>
        <v>93400</v>
      </c>
      <c r="G71" s="43">
        <f>44800+600+5000+3000+15000+25000</f>
        <v>93400</v>
      </c>
      <c r="H71" s="65">
        <v>-15000</v>
      </c>
      <c r="I71" s="44"/>
      <c r="J71" s="44"/>
      <c r="K71" s="44"/>
      <c r="L71" s="44"/>
      <c r="M71" s="44"/>
      <c r="N71" s="44"/>
      <c r="O71" s="44"/>
      <c r="P71" s="45">
        <f t="shared" si="45"/>
        <v>78400</v>
      </c>
      <c r="Q71" s="43">
        <v>5469.35</v>
      </c>
      <c r="R71" s="43">
        <v>12072.57</v>
      </c>
      <c r="S71" s="43">
        <v>8916.85</v>
      </c>
      <c r="T71" s="43">
        <v>6604.68</v>
      </c>
      <c r="U71" s="43">
        <v>4268.06</v>
      </c>
      <c r="V71" s="43">
        <v>5189.61</v>
      </c>
      <c r="W71" s="43"/>
      <c r="X71" s="43"/>
      <c r="Y71" s="43"/>
      <c r="Z71" s="43"/>
      <c r="AA71" s="43"/>
      <c r="AB71" s="43"/>
      <c r="AC71" s="46">
        <f t="shared" si="47"/>
        <v>42521.119999999995</v>
      </c>
      <c r="AD71" s="43">
        <f t="shared" si="46"/>
        <v>35878.880000000005</v>
      </c>
      <c r="AE71" s="338">
        <f t="shared" si="48"/>
        <v>54.23612244897959</v>
      </c>
    </row>
    <row r="72" spans="2:31" s="28" customFormat="1" ht="12.75">
      <c r="B72" s="33"/>
      <c r="C72" s="41"/>
      <c r="D72" s="41">
        <v>4350</v>
      </c>
      <c r="E72" s="42" t="s">
        <v>642</v>
      </c>
      <c r="F72" s="65">
        <v>4500</v>
      </c>
      <c r="G72" s="43">
        <v>4500</v>
      </c>
      <c r="H72" s="44"/>
      <c r="I72" s="44"/>
      <c r="J72" s="44"/>
      <c r="K72" s="44"/>
      <c r="L72" s="44"/>
      <c r="M72" s="44"/>
      <c r="N72" s="44"/>
      <c r="O72" s="44"/>
      <c r="P72" s="45">
        <f t="shared" si="45"/>
        <v>4500</v>
      </c>
      <c r="Q72" s="43">
        <v>364.78</v>
      </c>
      <c r="R72" s="43">
        <v>364.78</v>
      </c>
      <c r="S72" s="43">
        <v>364.78</v>
      </c>
      <c r="T72" s="43">
        <v>847.9</v>
      </c>
      <c r="U72" s="43">
        <v>485.56</v>
      </c>
      <c r="V72" s="43">
        <v>485.56</v>
      </c>
      <c r="W72" s="43"/>
      <c r="X72" s="43"/>
      <c r="Y72" s="43"/>
      <c r="Z72" s="43"/>
      <c r="AA72" s="43"/>
      <c r="AB72" s="43"/>
      <c r="AC72" s="46">
        <f t="shared" si="47"/>
        <v>2913.3599999999997</v>
      </c>
      <c r="AD72" s="43">
        <f t="shared" si="46"/>
        <v>1586.6400000000003</v>
      </c>
      <c r="AE72" s="338">
        <f t="shared" si="48"/>
        <v>64.74133333333332</v>
      </c>
    </row>
    <row r="73" spans="2:31" s="28" customFormat="1" ht="25.5">
      <c r="B73" s="33"/>
      <c r="C73" s="41"/>
      <c r="D73" s="41">
        <v>4360</v>
      </c>
      <c r="E73" s="42" t="s">
        <v>643</v>
      </c>
      <c r="F73" s="65">
        <v>5000</v>
      </c>
      <c r="G73" s="43">
        <v>5000</v>
      </c>
      <c r="H73" s="44"/>
      <c r="I73" s="44"/>
      <c r="J73" s="44"/>
      <c r="K73" s="44"/>
      <c r="L73" s="44"/>
      <c r="M73" s="44"/>
      <c r="N73" s="44"/>
      <c r="O73" s="44"/>
      <c r="P73" s="45">
        <f t="shared" si="45"/>
        <v>5000</v>
      </c>
      <c r="Q73" s="43">
        <v>312.23</v>
      </c>
      <c r="R73" s="43">
        <v>318.45</v>
      </c>
      <c r="S73" s="43">
        <v>367.04</v>
      </c>
      <c r="T73" s="43">
        <v>343.24</v>
      </c>
      <c r="U73" s="43">
        <v>340.41</v>
      </c>
      <c r="V73" s="43">
        <v>270.65</v>
      </c>
      <c r="W73" s="43"/>
      <c r="X73" s="43"/>
      <c r="Y73" s="43"/>
      <c r="Z73" s="43"/>
      <c r="AA73" s="43"/>
      <c r="AB73" s="43"/>
      <c r="AC73" s="46">
        <f>SUM(Q73:AB73)</f>
        <v>1952.02</v>
      </c>
      <c r="AD73" s="43">
        <f>P73-AC73</f>
        <v>3047.98</v>
      </c>
      <c r="AE73" s="338">
        <f>AC73*100/P73</f>
        <v>39.0404</v>
      </c>
    </row>
    <row r="74" spans="2:31" s="28" customFormat="1" ht="25.5">
      <c r="B74" s="33"/>
      <c r="C74" s="41"/>
      <c r="D74" s="41">
        <v>4370</v>
      </c>
      <c r="E74" s="42" t="s">
        <v>644</v>
      </c>
      <c r="F74" s="65">
        <v>29000</v>
      </c>
      <c r="G74" s="43">
        <v>29000</v>
      </c>
      <c r="H74" s="44"/>
      <c r="I74" s="44"/>
      <c r="J74" s="44"/>
      <c r="K74" s="44"/>
      <c r="L74" s="44"/>
      <c r="M74" s="44"/>
      <c r="N74" s="44"/>
      <c r="O74" s="44"/>
      <c r="P74" s="45">
        <f t="shared" si="45"/>
        <v>29000</v>
      </c>
      <c r="Q74" s="43">
        <v>2413.12</v>
      </c>
      <c r="R74" s="43">
        <v>2596.73</v>
      </c>
      <c r="S74" s="43">
        <v>2415.81</v>
      </c>
      <c r="T74" s="43">
        <v>1813.18</v>
      </c>
      <c r="U74" s="43">
        <v>2424.31</v>
      </c>
      <c r="V74" s="43">
        <v>2225.56</v>
      </c>
      <c r="W74" s="43"/>
      <c r="X74" s="43"/>
      <c r="Y74" s="43"/>
      <c r="Z74" s="43"/>
      <c r="AA74" s="43"/>
      <c r="AB74" s="43"/>
      <c r="AC74" s="46">
        <f>SUM(Q74:AB74)</f>
        <v>13888.71</v>
      </c>
      <c r="AD74" s="43">
        <f>P74-AC74</f>
        <v>15111.29</v>
      </c>
      <c r="AE74" s="338">
        <f>AC74*100/P74</f>
        <v>47.89210344827586</v>
      </c>
    </row>
    <row r="75" spans="2:31" s="28" customFormat="1" ht="12.75">
      <c r="B75" s="33"/>
      <c r="C75" s="41"/>
      <c r="D75" s="41">
        <v>4410</v>
      </c>
      <c r="E75" s="42" t="s">
        <v>635</v>
      </c>
      <c r="F75" s="65">
        <v>38000</v>
      </c>
      <c r="G75" s="43">
        <v>38000</v>
      </c>
      <c r="H75" s="44"/>
      <c r="I75" s="44"/>
      <c r="J75" s="44"/>
      <c r="K75" s="44"/>
      <c r="L75" s="44"/>
      <c r="M75" s="44"/>
      <c r="N75" s="44"/>
      <c r="O75" s="44"/>
      <c r="P75" s="45">
        <f t="shared" si="45"/>
        <v>38000</v>
      </c>
      <c r="Q75" s="43">
        <v>2231.61</v>
      </c>
      <c r="R75" s="43">
        <v>3016.22</v>
      </c>
      <c r="S75" s="43">
        <v>3703.4</v>
      </c>
      <c r="T75" s="43">
        <v>3472.82</v>
      </c>
      <c r="U75" s="43">
        <v>1845.62</v>
      </c>
      <c r="V75" s="43">
        <v>5967.16</v>
      </c>
      <c r="W75" s="43"/>
      <c r="X75" s="43"/>
      <c r="Y75" s="43"/>
      <c r="Z75" s="43"/>
      <c r="AA75" s="43"/>
      <c r="AB75" s="43"/>
      <c r="AC75" s="46">
        <f t="shared" si="47"/>
        <v>20236.829999999998</v>
      </c>
      <c r="AD75" s="43">
        <f t="shared" si="46"/>
        <v>17763.170000000002</v>
      </c>
      <c r="AE75" s="338">
        <f t="shared" si="48"/>
        <v>53.254815789473675</v>
      </c>
    </row>
    <row r="76" spans="2:31" s="28" customFormat="1" ht="12.75">
      <c r="B76" s="33"/>
      <c r="C76" s="41"/>
      <c r="D76" s="41">
        <v>4420</v>
      </c>
      <c r="E76" s="42" t="s">
        <v>615</v>
      </c>
      <c r="F76" s="65"/>
      <c r="G76" s="43">
        <v>500</v>
      </c>
      <c r="H76" s="44"/>
      <c r="I76" s="44"/>
      <c r="J76" s="44"/>
      <c r="K76" s="44"/>
      <c r="L76" s="44"/>
      <c r="M76" s="44"/>
      <c r="N76" s="44"/>
      <c r="O76" s="44"/>
      <c r="P76" s="45">
        <f t="shared" si="45"/>
        <v>500</v>
      </c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6">
        <f t="shared" si="47"/>
        <v>0</v>
      </c>
      <c r="AD76" s="43">
        <f t="shared" si="46"/>
        <v>500</v>
      </c>
      <c r="AE76" s="338">
        <f t="shared" si="48"/>
        <v>0</v>
      </c>
    </row>
    <row r="77" spans="2:31" s="28" customFormat="1" ht="12.75">
      <c r="B77" s="33"/>
      <c r="C77" s="41"/>
      <c r="D77" s="41">
        <v>4430</v>
      </c>
      <c r="E77" s="42" t="s">
        <v>1007</v>
      </c>
      <c r="F77" s="65">
        <f>1000+100+8000+5700+1800+1700</f>
        <v>18300</v>
      </c>
      <c r="G77" s="43">
        <f>1000+100+8000+5700+1800+1700</f>
        <v>18300</v>
      </c>
      <c r="H77" s="44">
        <v>3000</v>
      </c>
      <c r="I77" s="44"/>
      <c r="J77" s="44"/>
      <c r="K77" s="44"/>
      <c r="L77" s="44"/>
      <c r="M77" s="44"/>
      <c r="N77" s="44"/>
      <c r="O77" s="44"/>
      <c r="P77" s="45">
        <f t="shared" si="45"/>
        <v>21300</v>
      </c>
      <c r="Q77" s="43">
        <v>5612.33</v>
      </c>
      <c r="R77" s="43">
        <v>2.44</v>
      </c>
      <c r="S77" s="43">
        <v>1621.99</v>
      </c>
      <c r="T77" s="43">
        <v>2132.33</v>
      </c>
      <c r="U77" s="43">
        <v>3071.96</v>
      </c>
      <c r="V77" s="43">
        <v>-3062.2</v>
      </c>
      <c r="W77" s="43"/>
      <c r="X77" s="43"/>
      <c r="Y77" s="43"/>
      <c r="Z77" s="43"/>
      <c r="AA77" s="43"/>
      <c r="AB77" s="43"/>
      <c r="AC77" s="46">
        <f t="shared" si="47"/>
        <v>9378.849999999999</v>
      </c>
      <c r="AD77" s="43">
        <f t="shared" si="46"/>
        <v>11921.150000000001</v>
      </c>
      <c r="AE77" s="338">
        <f t="shared" si="48"/>
        <v>44.03215962441314</v>
      </c>
    </row>
    <row r="78" spans="2:31" s="28" customFormat="1" ht="25.5">
      <c r="B78" s="33"/>
      <c r="C78" s="41"/>
      <c r="D78" s="41">
        <v>4440</v>
      </c>
      <c r="E78" s="42" t="s">
        <v>645</v>
      </c>
      <c r="F78" s="65">
        <v>38100</v>
      </c>
      <c r="G78" s="43">
        <v>38100</v>
      </c>
      <c r="H78" s="44"/>
      <c r="I78" s="44"/>
      <c r="J78" s="44"/>
      <c r="K78" s="44"/>
      <c r="L78" s="44"/>
      <c r="M78" s="44"/>
      <c r="N78" s="44"/>
      <c r="O78" s="44"/>
      <c r="P78" s="45">
        <f t="shared" si="45"/>
        <v>38100</v>
      </c>
      <c r="Q78" s="43"/>
      <c r="R78" s="43">
        <v>30000</v>
      </c>
      <c r="S78" s="43"/>
      <c r="T78" s="43"/>
      <c r="U78" s="43">
        <v>5000</v>
      </c>
      <c r="V78" s="43"/>
      <c r="W78" s="43"/>
      <c r="X78" s="43"/>
      <c r="Y78" s="43"/>
      <c r="Z78" s="43"/>
      <c r="AA78" s="43"/>
      <c r="AB78" s="43"/>
      <c r="AC78" s="46">
        <f t="shared" si="47"/>
        <v>35000</v>
      </c>
      <c r="AD78" s="43">
        <f t="shared" si="46"/>
        <v>3100</v>
      </c>
      <c r="AE78" s="338">
        <f t="shared" si="48"/>
        <v>91.86351706036746</v>
      </c>
    </row>
    <row r="79" spans="2:31" s="28" customFormat="1" ht="25.5">
      <c r="B79" s="33"/>
      <c r="C79" s="41"/>
      <c r="D79" s="41">
        <v>4700</v>
      </c>
      <c r="E79" s="42" t="s">
        <v>805</v>
      </c>
      <c r="F79" s="65"/>
      <c r="G79" s="43"/>
      <c r="H79" s="44">
        <v>15000</v>
      </c>
      <c r="I79" s="44"/>
      <c r="J79" s="44"/>
      <c r="K79" s="44"/>
      <c r="L79" s="44"/>
      <c r="M79" s="44"/>
      <c r="N79" s="44"/>
      <c r="O79" s="44"/>
      <c r="P79" s="45">
        <f t="shared" si="45"/>
        <v>15000</v>
      </c>
      <c r="Q79" s="43"/>
      <c r="R79" s="43">
        <v>195</v>
      </c>
      <c r="S79" s="43">
        <v>4071</v>
      </c>
      <c r="T79" s="43">
        <v>1595</v>
      </c>
      <c r="U79" s="43">
        <v>1205</v>
      </c>
      <c r="V79" s="43">
        <v>2660</v>
      </c>
      <c r="W79" s="43"/>
      <c r="X79" s="43"/>
      <c r="Y79" s="43"/>
      <c r="Z79" s="43"/>
      <c r="AA79" s="43"/>
      <c r="AB79" s="43"/>
      <c r="AC79" s="46">
        <f t="shared" si="47"/>
        <v>9726</v>
      </c>
      <c r="AD79" s="43">
        <f t="shared" si="46"/>
        <v>5274</v>
      </c>
      <c r="AE79" s="338">
        <f t="shared" si="48"/>
        <v>64.84</v>
      </c>
    </row>
    <row r="80" spans="2:31" s="28" customFormat="1" ht="25.5">
      <c r="B80" s="33"/>
      <c r="C80" s="41"/>
      <c r="D80" s="41">
        <v>4740</v>
      </c>
      <c r="E80" s="42" t="s">
        <v>616</v>
      </c>
      <c r="F80" s="65">
        <v>11000</v>
      </c>
      <c r="G80" s="43">
        <v>11000</v>
      </c>
      <c r="H80" s="44"/>
      <c r="I80" s="44"/>
      <c r="J80" s="44"/>
      <c r="K80" s="44"/>
      <c r="L80" s="44"/>
      <c r="M80" s="44"/>
      <c r="N80" s="44"/>
      <c r="O80" s="44"/>
      <c r="P80" s="45">
        <f t="shared" si="45"/>
        <v>11000</v>
      </c>
      <c r="Q80" s="43">
        <v>262.3</v>
      </c>
      <c r="R80" s="43">
        <v>530.7</v>
      </c>
      <c r="S80" s="43">
        <v>532.23</v>
      </c>
      <c r="T80" s="43">
        <v>529.18</v>
      </c>
      <c r="U80" s="43">
        <v>263.82</v>
      </c>
      <c r="V80" s="43">
        <v>263.82</v>
      </c>
      <c r="W80" s="43"/>
      <c r="X80" s="43"/>
      <c r="Y80" s="43"/>
      <c r="Z80" s="43"/>
      <c r="AA80" s="43"/>
      <c r="AB80" s="43"/>
      <c r="AC80" s="46">
        <f>SUM(Q80:AB80)</f>
        <v>2382.05</v>
      </c>
      <c r="AD80" s="43">
        <f>P80-AC80</f>
        <v>8617.95</v>
      </c>
      <c r="AE80" s="338">
        <f>AC80*100/P80</f>
        <v>21.655</v>
      </c>
    </row>
    <row r="81" spans="2:31" s="28" customFormat="1" ht="25.5">
      <c r="B81" s="33"/>
      <c r="C81" s="41"/>
      <c r="D81" s="41">
        <v>4750</v>
      </c>
      <c r="E81" s="42" t="s">
        <v>617</v>
      </c>
      <c r="F81" s="65">
        <v>24000</v>
      </c>
      <c r="G81" s="43">
        <v>24000</v>
      </c>
      <c r="H81" s="44"/>
      <c r="I81" s="44"/>
      <c r="J81" s="44"/>
      <c r="K81" s="44"/>
      <c r="L81" s="44"/>
      <c r="M81" s="44"/>
      <c r="N81" s="44"/>
      <c r="O81" s="44"/>
      <c r="P81" s="45">
        <f t="shared" si="45"/>
        <v>24000</v>
      </c>
      <c r="Q81" s="43">
        <v>717.41</v>
      </c>
      <c r="R81" s="43">
        <v>2233.44</v>
      </c>
      <c r="S81" s="43">
        <f>464.53+408.71</f>
        <v>873.24</v>
      </c>
      <c r="T81" s="43">
        <v>2480.02</v>
      </c>
      <c r="U81" s="43">
        <v>5671.36</v>
      </c>
      <c r="V81" s="43">
        <v>6767.8</v>
      </c>
      <c r="W81" s="43"/>
      <c r="X81" s="43"/>
      <c r="Y81" s="43"/>
      <c r="Z81" s="43"/>
      <c r="AA81" s="43"/>
      <c r="AB81" s="43"/>
      <c r="AC81" s="46">
        <f>SUM(Q81:AB81)</f>
        <v>18743.27</v>
      </c>
      <c r="AD81" s="43">
        <f>P81-AC81</f>
        <v>5256.73</v>
      </c>
      <c r="AE81" s="338">
        <f>AC81*100/P81</f>
        <v>78.09695833333333</v>
      </c>
    </row>
    <row r="82" spans="2:31" s="28" customFormat="1" ht="25.5">
      <c r="B82" s="33"/>
      <c r="C82" s="41"/>
      <c r="D82" s="41">
        <v>6050</v>
      </c>
      <c r="E82" s="42" t="s">
        <v>1001</v>
      </c>
      <c r="F82" s="65">
        <v>100000</v>
      </c>
      <c r="G82" s="43">
        <v>100000</v>
      </c>
      <c r="H82" s="44"/>
      <c r="I82" s="44"/>
      <c r="J82" s="44"/>
      <c r="K82" s="44"/>
      <c r="L82" s="44"/>
      <c r="M82" s="44"/>
      <c r="N82" s="44"/>
      <c r="O82" s="44"/>
      <c r="P82" s="45">
        <f t="shared" si="45"/>
        <v>100000</v>
      </c>
      <c r="Q82" s="43"/>
      <c r="R82" s="43"/>
      <c r="S82" s="43">
        <v>11102</v>
      </c>
      <c r="T82" s="43"/>
      <c r="U82" s="65">
        <f>6954-11102</f>
        <v>-4148</v>
      </c>
      <c r="V82" s="43"/>
      <c r="W82" s="43"/>
      <c r="X82" s="43"/>
      <c r="Y82" s="43"/>
      <c r="Z82" s="43"/>
      <c r="AA82" s="43"/>
      <c r="AB82" s="43"/>
      <c r="AC82" s="46">
        <f>SUM(Q82:AB82)</f>
        <v>6954</v>
      </c>
      <c r="AD82" s="43">
        <f>P82-AC82</f>
        <v>93046</v>
      </c>
      <c r="AE82" s="338">
        <f>AC82*100/P82</f>
        <v>6.954</v>
      </c>
    </row>
    <row r="83" spans="2:31" s="28" customFormat="1" ht="25.5">
      <c r="B83" s="33"/>
      <c r="C83" s="41"/>
      <c r="D83" s="41">
        <v>6060</v>
      </c>
      <c r="E83" s="42" t="s">
        <v>573</v>
      </c>
      <c r="F83" s="65">
        <f>12000+90000</f>
        <v>102000</v>
      </c>
      <c r="G83" s="43">
        <f>12000+90000-60000</f>
        <v>42000</v>
      </c>
      <c r="H83" s="44"/>
      <c r="I83" s="44"/>
      <c r="J83" s="44"/>
      <c r="K83" s="44"/>
      <c r="L83" s="44"/>
      <c r="M83" s="44"/>
      <c r="N83" s="44"/>
      <c r="O83" s="44"/>
      <c r="P83" s="45">
        <f t="shared" si="45"/>
        <v>42000</v>
      </c>
      <c r="Q83" s="43"/>
      <c r="R83" s="43"/>
      <c r="S83" s="43"/>
      <c r="T83" s="43"/>
      <c r="U83" s="43">
        <v>11102</v>
      </c>
      <c r="V83" s="43"/>
      <c r="W83" s="43"/>
      <c r="X83" s="43"/>
      <c r="Y83" s="43"/>
      <c r="Z83" s="43"/>
      <c r="AA83" s="43"/>
      <c r="AB83" s="43"/>
      <c r="AC83" s="46">
        <f t="shared" si="47"/>
        <v>11102</v>
      </c>
      <c r="AD83" s="43">
        <f t="shared" si="46"/>
        <v>30898</v>
      </c>
      <c r="AE83" s="338">
        <f t="shared" si="48"/>
        <v>26.433333333333334</v>
      </c>
    </row>
    <row r="84" spans="2:31" s="28" customFormat="1" ht="12.75">
      <c r="B84" s="33"/>
      <c r="C84" s="35">
        <v>75095</v>
      </c>
      <c r="D84" s="35"/>
      <c r="E84" s="36" t="s">
        <v>162</v>
      </c>
      <c r="F84" s="63">
        <f>SUM(F86:F91)</f>
        <v>321000</v>
      </c>
      <c r="G84" s="37">
        <f>SUM(G85:G91)</f>
        <v>176000</v>
      </c>
      <c r="H84" s="38">
        <f aca="true" t="shared" si="49" ref="H84:AD84">SUM(H85:H91)</f>
        <v>311225</v>
      </c>
      <c r="I84" s="37">
        <f t="shared" si="49"/>
        <v>0</v>
      </c>
      <c r="J84" s="38">
        <f t="shared" si="49"/>
        <v>38954</v>
      </c>
      <c r="K84" s="37">
        <f t="shared" si="49"/>
        <v>0</v>
      </c>
      <c r="L84" s="37">
        <f t="shared" si="49"/>
        <v>0</v>
      </c>
      <c r="M84" s="37">
        <f t="shared" si="49"/>
        <v>0</v>
      </c>
      <c r="N84" s="37">
        <f t="shared" si="49"/>
        <v>0</v>
      </c>
      <c r="O84" s="37">
        <f t="shared" si="49"/>
        <v>0</v>
      </c>
      <c r="P84" s="39">
        <f t="shared" si="49"/>
        <v>526179</v>
      </c>
      <c r="Q84" s="37">
        <f t="shared" si="49"/>
        <v>11740.99</v>
      </c>
      <c r="R84" s="37">
        <f t="shared" si="49"/>
        <v>14816.689999999999</v>
      </c>
      <c r="S84" s="37">
        <f t="shared" si="49"/>
        <v>22709.100000000002</v>
      </c>
      <c r="T84" s="37">
        <f>SUM(T85:T91)</f>
        <v>24243.28</v>
      </c>
      <c r="U84" s="37">
        <f t="shared" si="49"/>
        <v>15344.28</v>
      </c>
      <c r="V84" s="37">
        <f t="shared" si="49"/>
        <v>38005.85</v>
      </c>
      <c r="W84" s="37">
        <f t="shared" si="49"/>
        <v>0</v>
      </c>
      <c r="X84" s="37">
        <f t="shared" si="49"/>
        <v>0</v>
      </c>
      <c r="Y84" s="37">
        <f t="shared" si="49"/>
        <v>0</v>
      </c>
      <c r="Z84" s="37">
        <f t="shared" si="49"/>
        <v>0</v>
      </c>
      <c r="AA84" s="37">
        <f t="shared" si="49"/>
        <v>0</v>
      </c>
      <c r="AB84" s="37">
        <f t="shared" si="49"/>
        <v>0</v>
      </c>
      <c r="AC84" s="37">
        <f t="shared" si="49"/>
        <v>126860.19</v>
      </c>
      <c r="AD84" s="37">
        <f t="shared" si="49"/>
        <v>399318.80999999994</v>
      </c>
      <c r="AE84" s="337">
        <f t="shared" si="48"/>
        <v>24.109702211604795</v>
      </c>
    </row>
    <row r="85" spans="2:31" s="28" customFormat="1" ht="12.75">
      <c r="B85" s="33"/>
      <c r="C85" s="35"/>
      <c r="D85" s="41">
        <v>4170</v>
      </c>
      <c r="E85" s="42" t="s">
        <v>640</v>
      </c>
      <c r="F85" s="63"/>
      <c r="G85" s="37"/>
      <c r="H85" s="44">
        <v>1200</v>
      </c>
      <c r="I85" s="38"/>
      <c r="J85" s="44">
        <v>454</v>
      </c>
      <c r="K85" s="38"/>
      <c r="L85" s="38"/>
      <c r="M85" s="38"/>
      <c r="N85" s="38"/>
      <c r="O85" s="38"/>
      <c r="P85" s="45">
        <f aca="true" t="shared" si="50" ref="P85:P91">G85+H85+I85+J85+K85+L85+M85+N85+O85</f>
        <v>1654</v>
      </c>
      <c r="Q85" s="37"/>
      <c r="R85" s="37"/>
      <c r="S85" s="37"/>
      <c r="T85" s="43">
        <v>1388</v>
      </c>
      <c r="U85" s="43">
        <v>266</v>
      </c>
      <c r="V85" s="37"/>
      <c r="W85" s="37"/>
      <c r="X85" s="37"/>
      <c r="Y85" s="37"/>
      <c r="Z85" s="37"/>
      <c r="AA85" s="37"/>
      <c r="AB85" s="37"/>
      <c r="AC85" s="46">
        <f aca="true" t="shared" si="51" ref="AC85:AC91">SUM(Q85:AB85)</f>
        <v>1654</v>
      </c>
      <c r="AD85" s="43">
        <f aca="true" t="shared" si="52" ref="AD85:AD91">P85-AC85</f>
        <v>0</v>
      </c>
      <c r="AE85" s="338">
        <f t="shared" si="48"/>
        <v>100</v>
      </c>
    </row>
    <row r="86" spans="2:31" s="28" customFormat="1" ht="12.75">
      <c r="B86" s="33"/>
      <c r="C86" s="35"/>
      <c r="D86" s="41">
        <v>4210</v>
      </c>
      <c r="E86" s="42" t="s">
        <v>998</v>
      </c>
      <c r="F86" s="65">
        <f>40000+20000+16000</f>
        <v>76000</v>
      </c>
      <c r="G86" s="43">
        <f>40000+20000+16000-30000</f>
        <v>46000</v>
      </c>
      <c r="H86" s="44"/>
      <c r="I86" s="44"/>
      <c r="J86" s="44">
        <v>18500</v>
      </c>
      <c r="K86" s="44"/>
      <c r="L86" s="44"/>
      <c r="M86" s="44"/>
      <c r="N86" s="44"/>
      <c r="O86" s="44"/>
      <c r="P86" s="45">
        <f t="shared" si="50"/>
        <v>64500</v>
      </c>
      <c r="Q86" s="43">
        <v>3548.25</v>
      </c>
      <c r="R86" s="43">
        <v>5703.34</v>
      </c>
      <c r="S86" s="43">
        <v>5508.29</v>
      </c>
      <c r="T86" s="43">
        <v>3475.04</v>
      </c>
      <c r="U86" s="43">
        <v>2070.67</v>
      </c>
      <c r="V86" s="43">
        <v>34474.28</v>
      </c>
      <c r="W86" s="43"/>
      <c r="X86" s="43"/>
      <c r="Y86" s="43"/>
      <c r="Z86" s="43"/>
      <c r="AA86" s="43"/>
      <c r="AB86" s="43"/>
      <c r="AC86" s="46">
        <f t="shared" si="51"/>
        <v>54779.87</v>
      </c>
      <c r="AD86" s="65">
        <f t="shared" si="52"/>
        <v>9720.129999999997</v>
      </c>
      <c r="AE86" s="338">
        <f t="shared" si="48"/>
        <v>84.93003100775194</v>
      </c>
    </row>
    <row r="87" spans="2:31" s="28" customFormat="1" ht="12.75">
      <c r="B87" s="33"/>
      <c r="C87" s="35"/>
      <c r="D87" s="41">
        <v>4260</v>
      </c>
      <c r="E87" s="42" t="s">
        <v>634</v>
      </c>
      <c r="F87" s="65">
        <v>20000</v>
      </c>
      <c r="G87" s="43">
        <v>20000</v>
      </c>
      <c r="H87" s="44"/>
      <c r="I87" s="44"/>
      <c r="J87" s="44"/>
      <c r="K87" s="44"/>
      <c r="L87" s="44"/>
      <c r="M87" s="44"/>
      <c r="N87" s="44"/>
      <c r="O87" s="44"/>
      <c r="P87" s="45">
        <f t="shared" si="50"/>
        <v>20000</v>
      </c>
      <c r="Q87" s="43">
        <v>2773.8</v>
      </c>
      <c r="R87" s="43">
        <v>2138.56</v>
      </c>
      <c r="S87" s="43">
        <v>1670.8</v>
      </c>
      <c r="T87" s="43">
        <v>6582.68</v>
      </c>
      <c r="U87" s="43">
        <v>551.61</v>
      </c>
      <c r="V87" s="43">
        <v>2892.25</v>
      </c>
      <c r="W87" s="43"/>
      <c r="X87" s="43"/>
      <c r="Y87" s="43"/>
      <c r="Z87" s="43"/>
      <c r="AA87" s="43"/>
      <c r="AB87" s="43"/>
      <c r="AC87" s="46">
        <f t="shared" si="51"/>
        <v>16609.7</v>
      </c>
      <c r="AD87" s="43">
        <f t="shared" si="52"/>
        <v>3390.2999999999993</v>
      </c>
      <c r="AE87" s="338">
        <f t="shared" si="48"/>
        <v>83.0485</v>
      </c>
    </row>
    <row r="88" spans="2:31" s="28" customFormat="1" ht="12.75">
      <c r="B88" s="33"/>
      <c r="C88" s="35"/>
      <c r="D88" s="41">
        <v>4270</v>
      </c>
      <c r="E88" s="42" t="s">
        <v>618</v>
      </c>
      <c r="F88" s="65">
        <f>10000+130000</f>
        <v>140000</v>
      </c>
      <c r="G88" s="43">
        <f>10000+30000</f>
        <v>40000</v>
      </c>
      <c r="H88" s="44">
        <v>60000</v>
      </c>
      <c r="I88" s="44"/>
      <c r="J88" s="65">
        <v>-10000</v>
      </c>
      <c r="K88" s="44"/>
      <c r="L88" s="44"/>
      <c r="M88" s="44"/>
      <c r="N88" s="44"/>
      <c r="O88" s="44"/>
      <c r="P88" s="45">
        <f t="shared" si="50"/>
        <v>90000</v>
      </c>
      <c r="Q88" s="43">
        <v>1560</v>
      </c>
      <c r="R88" s="43">
        <v>1977.8</v>
      </c>
      <c r="S88" s="43">
        <v>9950.61</v>
      </c>
      <c r="T88" s="43">
        <v>2774.4</v>
      </c>
      <c r="U88" s="43">
        <v>9516</v>
      </c>
      <c r="V88" s="43"/>
      <c r="W88" s="43"/>
      <c r="X88" s="43"/>
      <c r="Y88" s="43"/>
      <c r="Z88" s="43"/>
      <c r="AA88" s="43"/>
      <c r="AB88" s="43"/>
      <c r="AC88" s="46">
        <f t="shared" si="51"/>
        <v>25778.809999999998</v>
      </c>
      <c r="AD88" s="43">
        <f t="shared" si="52"/>
        <v>64221.19</v>
      </c>
      <c r="AE88" s="338">
        <f t="shared" si="48"/>
        <v>28.64312222222222</v>
      </c>
    </row>
    <row r="89" spans="2:31" s="28" customFormat="1" ht="12.75">
      <c r="B89" s="33"/>
      <c r="C89" s="41"/>
      <c r="D89" s="41">
        <v>4300</v>
      </c>
      <c r="E89" s="42" t="s">
        <v>1000</v>
      </c>
      <c r="F89" s="65">
        <v>10000</v>
      </c>
      <c r="G89" s="43">
        <v>10000</v>
      </c>
      <c r="H89" s="44">
        <f>16525+16000</f>
        <v>32525</v>
      </c>
      <c r="I89" s="44"/>
      <c r="J89" s="44"/>
      <c r="K89" s="44"/>
      <c r="L89" s="44"/>
      <c r="M89" s="44"/>
      <c r="N89" s="44"/>
      <c r="O89" s="44"/>
      <c r="P89" s="45">
        <f t="shared" si="50"/>
        <v>42525</v>
      </c>
      <c r="Q89" s="43">
        <v>1742.54</v>
      </c>
      <c r="R89" s="43">
        <v>1070</v>
      </c>
      <c r="S89" s="43">
        <v>4016</v>
      </c>
      <c r="T89" s="43">
        <v>4888.16</v>
      </c>
      <c r="U89" s="43">
        <v>2928</v>
      </c>
      <c r="V89" s="43">
        <v>639.32</v>
      </c>
      <c r="W89" s="43"/>
      <c r="X89" s="43"/>
      <c r="Y89" s="43"/>
      <c r="Z89" s="43"/>
      <c r="AA89" s="43"/>
      <c r="AB89" s="43"/>
      <c r="AC89" s="46">
        <f t="shared" si="51"/>
        <v>15284.02</v>
      </c>
      <c r="AD89" s="43">
        <f t="shared" si="52"/>
        <v>27240.98</v>
      </c>
      <c r="AE89" s="338">
        <f t="shared" si="48"/>
        <v>35.94125808348031</v>
      </c>
    </row>
    <row r="90" spans="2:31" s="28" customFormat="1" ht="25.5">
      <c r="B90" s="33"/>
      <c r="C90" s="41"/>
      <c r="D90" s="41">
        <v>6050</v>
      </c>
      <c r="E90" s="42" t="s">
        <v>1001</v>
      </c>
      <c r="F90" s="65">
        <f>75000</f>
        <v>75000</v>
      </c>
      <c r="G90" s="43">
        <f>75000-15000</f>
        <v>60000</v>
      </c>
      <c r="H90" s="44">
        <f>100000+110000</f>
        <v>210000</v>
      </c>
      <c r="I90" s="44"/>
      <c r="J90" s="44">
        <v>30000</v>
      </c>
      <c r="K90" s="44"/>
      <c r="L90" s="44"/>
      <c r="M90" s="44"/>
      <c r="N90" s="44"/>
      <c r="O90" s="44"/>
      <c r="P90" s="45">
        <f t="shared" si="50"/>
        <v>300000</v>
      </c>
      <c r="Q90" s="43">
        <v>2116.4</v>
      </c>
      <c r="R90" s="43">
        <v>2318</v>
      </c>
      <c r="S90" s="43">
        <v>990</v>
      </c>
      <c r="T90" s="43">
        <v>976</v>
      </c>
      <c r="U90" s="43">
        <v>12</v>
      </c>
      <c r="V90" s="43"/>
      <c r="W90" s="43"/>
      <c r="X90" s="43"/>
      <c r="Y90" s="43"/>
      <c r="Z90" s="43"/>
      <c r="AA90" s="43"/>
      <c r="AB90" s="43"/>
      <c r="AC90" s="46">
        <f>SUM(Q90:AB90)</f>
        <v>6412.4</v>
      </c>
      <c r="AD90" s="43">
        <f>P90-AC90</f>
        <v>293587.6</v>
      </c>
      <c r="AE90" s="338">
        <f>AC90*100/P90</f>
        <v>2.1374666666666666</v>
      </c>
    </row>
    <row r="91" spans="2:31" s="28" customFormat="1" ht="25.5">
      <c r="B91" s="33"/>
      <c r="C91" s="41"/>
      <c r="D91" s="41">
        <v>6060</v>
      </c>
      <c r="E91" s="42" t="s">
        <v>573</v>
      </c>
      <c r="F91" s="65"/>
      <c r="G91" s="43"/>
      <c r="H91" s="44">
        <v>7500</v>
      </c>
      <c r="I91" s="44"/>
      <c r="J91" s="44"/>
      <c r="K91" s="44"/>
      <c r="L91" s="44"/>
      <c r="M91" s="44"/>
      <c r="N91" s="44"/>
      <c r="O91" s="44"/>
      <c r="P91" s="45">
        <f t="shared" si="50"/>
        <v>7500</v>
      </c>
      <c r="Q91" s="43"/>
      <c r="R91" s="43">
        <v>1608.99</v>
      </c>
      <c r="S91" s="43">
        <v>573.4</v>
      </c>
      <c r="T91" s="43">
        <v>4159</v>
      </c>
      <c r="U91" s="43"/>
      <c r="V91" s="43"/>
      <c r="W91" s="43"/>
      <c r="X91" s="43"/>
      <c r="Y91" s="43"/>
      <c r="Z91" s="43"/>
      <c r="AA91" s="43"/>
      <c r="AB91" s="43"/>
      <c r="AC91" s="46">
        <f t="shared" si="51"/>
        <v>6341.389999999999</v>
      </c>
      <c r="AD91" s="43">
        <f t="shared" si="52"/>
        <v>1158.6100000000006</v>
      </c>
      <c r="AE91" s="338">
        <f t="shared" si="48"/>
        <v>84.55186666666667</v>
      </c>
    </row>
    <row r="92" spans="2:31" s="28" customFormat="1" ht="38.25">
      <c r="B92" s="53">
        <v>751</v>
      </c>
      <c r="C92" s="54"/>
      <c r="D92" s="54"/>
      <c r="E92" s="55" t="s">
        <v>619</v>
      </c>
      <c r="F92" s="62">
        <f>F93+F95</f>
        <v>1160</v>
      </c>
      <c r="G92" s="51">
        <f>G93+G95</f>
        <v>1160</v>
      </c>
      <c r="H92" s="62">
        <f>H93+H95</f>
        <v>-56</v>
      </c>
      <c r="I92" s="52">
        <f aca="true" t="shared" si="53" ref="I92:O92">I93+I95</f>
        <v>0</v>
      </c>
      <c r="J92" s="52">
        <f t="shared" si="53"/>
        <v>0</v>
      </c>
      <c r="K92" s="52">
        <f t="shared" si="53"/>
        <v>0</v>
      </c>
      <c r="L92" s="52">
        <f t="shared" si="53"/>
        <v>0</v>
      </c>
      <c r="M92" s="52">
        <f t="shared" si="53"/>
        <v>0</v>
      </c>
      <c r="N92" s="52">
        <f t="shared" si="53"/>
        <v>0</v>
      </c>
      <c r="O92" s="52">
        <f t="shared" si="53"/>
        <v>0</v>
      </c>
      <c r="P92" s="51">
        <f>P93+P95</f>
        <v>1104</v>
      </c>
      <c r="Q92" s="51">
        <f>Q93+Q95</f>
        <v>0</v>
      </c>
      <c r="R92" s="51">
        <f aca="true" t="shared" si="54" ref="R92:AB92">R93+R95</f>
        <v>0</v>
      </c>
      <c r="S92" s="51">
        <f t="shared" si="54"/>
        <v>0</v>
      </c>
      <c r="T92" s="51">
        <f t="shared" si="54"/>
        <v>0</v>
      </c>
      <c r="U92" s="51">
        <f t="shared" si="54"/>
        <v>0</v>
      </c>
      <c r="V92" s="51">
        <f t="shared" si="54"/>
        <v>0</v>
      </c>
      <c r="W92" s="51">
        <f t="shared" si="54"/>
        <v>0</v>
      </c>
      <c r="X92" s="51">
        <f t="shared" si="54"/>
        <v>0</v>
      </c>
      <c r="Y92" s="51">
        <f t="shared" si="54"/>
        <v>0</v>
      </c>
      <c r="Z92" s="51">
        <f t="shared" si="54"/>
        <v>0</v>
      </c>
      <c r="AA92" s="51">
        <f t="shared" si="54"/>
        <v>0</v>
      </c>
      <c r="AB92" s="51">
        <f t="shared" si="54"/>
        <v>0</v>
      </c>
      <c r="AC92" s="51">
        <f>AC93+AC95</f>
        <v>0</v>
      </c>
      <c r="AD92" s="51">
        <f>AD93+AD95</f>
        <v>1104</v>
      </c>
      <c r="AE92" s="336">
        <f t="shared" si="48"/>
        <v>0</v>
      </c>
    </row>
    <row r="93" spans="2:31" s="69" customFormat="1" ht="25.5">
      <c r="B93" s="33"/>
      <c r="C93" s="67">
        <v>75101</v>
      </c>
      <c r="D93" s="67"/>
      <c r="E93" s="70" t="s">
        <v>620</v>
      </c>
      <c r="F93" s="63">
        <f>SUM(F94:F94)</f>
        <v>1160</v>
      </c>
      <c r="G93" s="37">
        <f>SUM(G94:G94)</f>
        <v>1160</v>
      </c>
      <c r="H93" s="63">
        <f>SUM(H94:H94)</f>
        <v>-56</v>
      </c>
      <c r="I93" s="38">
        <f aca="true" t="shared" si="55" ref="I93:O93">SUM(I94:I94)</f>
        <v>0</v>
      </c>
      <c r="J93" s="38">
        <f t="shared" si="55"/>
        <v>0</v>
      </c>
      <c r="K93" s="38">
        <f t="shared" si="55"/>
        <v>0</v>
      </c>
      <c r="L93" s="38">
        <f t="shared" si="55"/>
        <v>0</v>
      </c>
      <c r="M93" s="38">
        <f t="shared" si="55"/>
        <v>0</v>
      </c>
      <c r="N93" s="38">
        <f t="shared" si="55"/>
        <v>0</v>
      </c>
      <c r="O93" s="38">
        <f t="shared" si="55"/>
        <v>0</v>
      </c>
      <c r="P93" s="39">
        <f>SUM(P94:P94)</f>
        <v>1104</v>
      </c>
      <c r="Q93" s="37">
        <f>SUM(Q94:Q94)</f>
        <v>0</v>
      </c>
      <c r="R93" s="37">
        <f aca="true" t="shared" si="56" ref="R93:AB93">SUM(R94:R94)</f>
        <v>0</v>
      </c>
      <c r="S93" s="37">
        <f t="shared" si="56"/>
        <v>0</v>
      </c>
      <c r="T93" s="37">
        <f t="shared" si="56"/>
        <v>0</v>
      </c>
      <c r="U93" s="37">
        <f t="shared" si="56"/>
        <v>0</v>
      </c>
      <c r="V93" s="37">
        <f t="shared" si="56"/>
        <v>0</v>
      </c>
      <c r="W93" s="37">
        <f t="shared" si="56"/>
        <v>0</v>
      </c>
      <c r="X93" s="37">
        <f t="shared" si="56"/>
        <v>0</v>
      </c>
      <c r="Y93" s="37">
        <f t="shared" si="56"/>
        <v>0</v>
      </c>
      <c r="Z93" s="37">
        <f t="shared" si="56"/>
        <v>0</v>
      </c>
      <c r="AA93" s="37">
        <f t="shared" si="56"/>
        <v>0</v>
      </c>
      <c r="AB93" s="37">
        <f t="shared" si="56"/>
        <v>0</v>
      </c>
      <c r="AC93" s="37">
        <f>SUM(AC94:AC94)</f>
        <v>0</v>
      </c>
      <c r="AD93" s="37">
        <f>SUM(AD94:AD94)</f>
        <v>1104</v>
      </c>
      <c r="AE93" s="342">
        <f t="shared" si="48"/>
        <v>0</v>
      </c>
    </row>
    <row r="94" spans="2:31" s="28" customFormat="1" ht="12.75">
      <c r="B94" s="33"/>
      <c r="C94" s="41"/>
      <c r="D94" s="41">
        <v>4300</v>
      </c>
      <c r="E94" s="42" t="s">
        <v>1000</v>
      </c>
      <c r="F94" s="65">
        <v>1160</v>
      </c>
      <c r="G94" s="43">
        <v>1160</v>
      </c>
      <c r="H94" s="65">
        <v>-56</v>
      </c>
      <c r="I94" s="44"/>
      <c r="J94" s="44"/>
      <c r="K94" s="44"/>
      <c r="L94" s="44"/>
      <c r="M94" s="44"/>
      <c r="N94" s="44"/>
      <c r="O94" s="44"/>
      <c r="P94" s="45">
        <f>G94+H94+I94+J94+K94+L94+M94+N94+O94</f>
        <v>1104</v>
      </c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6">
        <f>SUM(Q94:AB94)</f>
        <v>0</v>
      </c>
      <c r="AD94" s="43">
        <f>P94-AC94</f>
        <v>1104</v>
      </c>
      <c r="AE94" s="338">
        <f t="shared" si="48"/>
        <v>0</v>
      </c>
    </row>
    <row r="95" spans="2:31" s="28" customFormat="1" ht="12.75" hidden="1">
      <c r="B95" s="33"/>
      <c r="C95" s="125">
        <v>75108</v>
      </c>
      <c r="D95" s="49"/>
      <c r="E95" s="126" t="s">
        <v>362</v>
      </c>
      <c r="F95" s="63">
        <f>SUM(F96:F100)</f>
        <v>0</v>
      </c>
      <c r="G95" s="37">
        <f>SUM(G96:G100)</f>
        <v>0</v>
      </c>
      <c r="H95" s="38">
        <f>SUM(H96:H100)</f>
        <v>0</v>
      </c>
      <c r="I95" s="38">
        <f aca="true" t="shared" si="57" ref="I95:O95">SUM(I96:I100)</f>
        <v>0</v>
      </c>
      <c r="J95" s="38">
        <f t="shared" si="57"/>
        <v>0</v>
      </c>
      <c r="K95" s="38">
        <f t="shared" si="57"/>
        <v>0</v>
      </c>
      <c r="L95" s="38">
        <f t="shared" si="57"/>
        <v>0</v>
      </c>
      <c r="M95" s="38">
        <f t="shared" si="57"/>
        <v>0</v>
      </c>
      <c r="N95" s="38">
        <f t="shared" si="57"/>
        <v>0</v>
      </c>
      <c r="O95" s="38">
        <f t="shared" si="57"/>
        <v>0</v>
      </c>
      <c r="P95" s="39">
        <f>SUM(P96:P100)</f>
        <v>0</v>
      </c>
      <c r="Q95" s="37">
        <f>SUM(Q96:Q100)</f>
        <v>0</v>
      </c>
      <c r="R95" s="37">
        <f aca="true" t="shared" si="58" ref="R95:AB95">SUM(R96:R100)</f>
        <v>0</v>
      </c>
      <c r="S95" s="37">
        <f t="shared" si="58"/>
        <v>0</v>
      </c>
      <c r="T95" s="37">
        <f t="shared" si="58"/>
        <v>0</v>
      </c>
      <c r="U95" s="37">
        <f t="shared" si="58"/>
        <v>0</v>
      </c>
      <c r="V95" s="37">
        <f t="shared" si="58"/>
        <v>0</v>
      </c>
      <c r="W95" s="37">
        <f t="shared" si="58"/>
        <v>0</v>
      </c>
      <c r="X95" s="37">
        <f t="shared" si="58"/>
        <v>0</v>
      </c>
      <c r="Y95" s="37">
        <f t="shared" si="58"/>
        <v>0</v>
      </c>
      <c r="Z95" s="37">
        <f t="shared" si="58"/>
        <v>0</v>
      </c>
      <c r="AA95" s="37">
        <f t="shared" si="58"/>
        <v>0</v>
      </c>
      <c r="AB95" s="37">
        <f t="shared" si="58"/>
        <v>0</v>
      </c>
      <c r="AC95" s="37">
        <f>SUM(AC96:AC100)</f>
        <v>0</v>
      </c>
      <c r="AD95" s="37">
        <f>SUM(AD96:AD100)</f>
        <v>0</v>
      </c>
      <c r="AE95" s="342" t="e">
        <f t="shared" si="48"/>
        <v>#DIV/0!</v>
      </c>
    </row>
    <row r="96" spans="2:31" s="28" customFormat="1" ht="12.75" hidden="1">
      <c r="B96" s="33"/>
      <c r="C96" s="41"/>
      <c r="D96" s="41">
        <v>3030</v>
      </c>
      <c r="E96" s="42" t="s">
        <v>987</v>
      </c>
      <c r="F96" s="65"/>
      <c r="G96" s="43"/>
      <c r="H96" s="44"/>
      <c r="I96" s="44"/>
      <c r="J96" s="44"/>
      <c r="K96" s="44"/>
      <c r="L96" s="44"/>
      <c r="M96" s="44"/>
      <c r="N96" s="44"/>
      <c r="O96" s="44"/>
      <c r="P96" s="45">
        <f>G96+H96+I96+J96+K96+L96+M96+N96+O96</f>
        <v>0</v>
      </c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6">
        <f>SUM(Q96:AB96)</f>
        <v>0</v>
      </c>
      <c r="AD96" s="43">
        <f>P96-AC96</f>
        <v>0</v>
      </c>
      <c r="AE96" s="338" t="e">
        <f t="shared" si="48"/>
        <v>#DIV/0!</v>
      </c>
    </row>
    <row r="97" spans="2:31" s="28" customFormat="1" ht="12.75" hidden="1">
      <c r="B97" s="33"/>
      <c r="C97" s="41"/>
      <c r="D97" s="41">
        <v>4170</v>
      </c>
      <c r="E97" s="42" t="s">
        <v>640</v>
      </c>
      <c r="F97" s="65"/>
      <c r="G97" s="43"/>
      <c r="H97" s="44"/>
      <c r="I97" s="44"/>
      <c r="J97" s="44"/>
      <c r="K97" s="44"/>
      <c r="L97" s="44"/>
      <c r="M97" s="44"/>
      <c r="N97" s="44"/>
      <c r="O97" s="44"/>
      <c r="P97" s="45">
        <f>G97+H97+I97+J97+K97+L97+M97+N97+O97</f>
        <v>0</v>
      </c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6">
        <f>SUM(Q97:AB97)</f>
        <v>0</v>
      </c>
      <c r="AD97" s="43">
        <f>P97-AC97</f>
        <v>0</v>
      </c>
      <c r="AE97" s="338" t="e">
        <f t="shared" si="48"/>
        <v>#DIV/0!</v>
      </c>
    </row>
    <row r="98" spans="2:31" s="28" customFormat="1" ht="12.75" hidden="1">
      <c r="B98" s="33"/>
      <c r="C98" s="41"/>
      <c r="D98" s="41">
        <v>4210</v>
      </c>
      <c r="E98" s="42" t="s">
        <v>998</v>
      </c>
      <c r="F98" s="65"/>
      <c r="G98" s="43"/>
      <c r="H98" s="44"/>
      <c r="I98" s="44"/>
      <c r="J98" s="44"/>
      <c r="K98" s="44"/>
      <c r="L98" s="44"/>
      <c r="M98" s="44"/>
      <c r="N98" s="44"/>
      <c r="O98" s="44"/>
      <c r="P98" s="45">
        <f>G98+H98+I98+J98+K98+L98+M98+N98+O98</f>
        <v>0</v>
      </c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6">
        <f>SUM(Q98:AB98)</f>
        <v>0</v>
      </c>
      <c r="AD98" s="43">
        <f>P98-AC98</f>
        <v>0</v>
      </c>
      <c r="AE98" s="338" t="e">
        <f t="shared" si="48"/>
        <v>#DIV/0!</v>
      </c>
    </row>
    <row r="99" spans="2:31" s="28" customFormat="1" ht="12.75" hidden="1">
      <c r="B99" s="33"/>
      <c r="C99" s="41"/>
      <c r="D99" s="41">
        <v>4300</v>
      </c>
      <c r="E99" s="42" t="s">
        <v>1000</v>
      </c>
      <c r="F99" s="65"/>
      <c r="G99" s="43"/>
      <c r="H99" s="44"/>
      <c r="I99" s="44"/>
      <c r="J99" s="44"/>
      <c r="K99" s="44"/>
      <c r="L99" s="44"/>
      <c r="M99" s="44"/>
      <c r="N99" s="44"/>
      <c r="O99" s="44"/>
      <c r="P99" s="45">
        <f>G99+H99+I99+J99+K99+L99+M99+N99+O99</f>
        <v>0</v>
      </c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6">
        <f>SUM(Q99:AB99)</f>
        <v>0</v>
      </c>
      <c r="AD99" s="43">
        <f>P99-AC99</f>
        <v>0</v>
      </c>
      <c r="AE99" s="338" t="e">
        <f t="shared" si="48"/>
        <v>#DIV/0!</v>
      </c>
    </row>
    <row r="100" spans="2:31" s="28" customFormat="1" ht="12.75" hidden="1">
      <c r="B100" s="33"/>
      <c r="C100" s="41"/>
      <c r="D100" s="41">
        <v>4410</v>
      </c>
      <c r="E100" s="42" t="s">
        <v>635</v>
      </c>
      <c r="F100" s="65"/>
      <c r="G100" s="43"/>
      <c r="H100" s="44"/>
      <c r="I100" s="44"/>
      <c r="J100" s="44"/>
      <c r="K100" s="44"/>
      <c r="L100" s="44"/>
      <c r="M100" s="44"/>
      <c r="N100" s="44"/>
      <c r="O100" s="44"/>
      <c r="P100" s="45">
        <f>G100+H100+I100+J100+K100+L100+M100+N100+O100</f>
        <v>0</v>
      </c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6">
        <f>SUM(Q100:AB100)</f>
        <v>0</v>
      </c>
      <c r="AD100" s="43">
        <f>P100-AC100</f>
        <v>0</v>
      </c>
      <c r="AE100" s="338" t="e">
        <f t="shared" si="48"/>
        <v>#DIV/0!</v>
      </c>
    </row>
    <row r="101" spans="2:31" s="28" customFormat="1" ht="25.5">
      <c r="B101" s="53">
        <v>754</v>
      </c>
      <c r="C101" s="54"/>
      <c r="D101" s="54"/>
      <c r="E101" s="55" t="s">
        <v>363</v>
      </c>
      <c r="F101" s="62">
        <f>F102+F104+F116+F121</f>
        <v>175400</v>
      </c>
      <c r="G101" s="51">
        <f>G102+G104+G116+G121</f>
        <v>137400</v>
      </c>
      <c r="H101" s="52">
        <f>H102+H104+H116+H121</f>
        <v>0</v>
      </c>
      <c r="I101" s="52">
        <f aca="true" t="shared" si="59" ref="I101:O101">I102+I104+I116+I121</f>
        <v>0</v>
      </c>
      <c r="J101" s="52">
        <f t="shared" si="59"/>
        <v>0</v>
      </c>
      <c r="K101" s="52">
        <f t="shared" si="59"/>
        <v>0</v>
      </c>
      <c r="L101" s="52">
        <f t="shared" si="59"/>
        <v>0</v>
      </c>
      <c r="M101" s="52">
        <f t="shared" si="59"/>
        <v>0</v>
      </c>
      <c r="N101" s="52">
        <f t="shared" si="59"/>
        <v>0</v>
      </c>
      <c r="O101" s="52">
        <f t="shared" si="59"/>
        <v>0</v>
      </c>
      <c r="P101" s="51">
        <f>P102+P104+P116+P121</f>
        <v>137400</v>
      </c>
      <c r="Q101" s="51">
        <f>Q102+Q104+Q116+Q121</f>
        <v>5788.53</v>
      </c>
      <c r="R101" s="51">
        <f aca="true" t="shared" si="60" ref="R101:AD101">R102+R104+R116+R121</f>
        <v>5406.15</v>
      </c>
      <c r="S101" s="51">
        <f t="shared" si="60"/>
        <v>9295.18</v>
      </c>
      <c r="T101" s="51">
        <f>T102+T104+T116+T121</f>
        <v>9730.29</v>
      </c>
      <c r="U101" s="51">
        <f>U102+U104+U116+U121</f>
        <v>15795.61</v>
      </c>
      <c r="V101" s="51">
        <f t="shared" si="60"/>
        <v>13559.75</v>
      </c>
      <c r="W101" s="51">
        <f t="shared" si="60"/>
        <v>0</v>
      </c>
      <c r="X101" s="51">
        <f t="shared" si="60"/>
        <v>0</v>
      </c>
      <c r="Y101" s="51">
        <f t="shared" si="60"/>
        <v>0</v>
      </c>
      <c r="Z101" s="51">
        <f t="shared" si="60"/>
        <v>0</v>
      </c>
      <c r="AA101" s="51">
        <f t="shared" si="60"/>
        <v>0</v>
      </c>
      <c r="AB101" s="51">
        <f t="shared" si="60"/>
        <v>0</v>
      </c>
      <c r="AC101" s="51">
        <f t="shared" si="60"/>
        <v>59575.509999999995</v>
      </c>
      <c r="AD101" s="51">
        <f t="shared" si="60"/>
        <v>78034.79999999999</v>
      </c>
      <c r="AE101" s="336">
        <f t="shared" si="48"/>
        <v>43.359177583697225</v>
      </c>
    </row>
    <row r="102" spans="2:31" s="28" customFormat="1" ht="12.75">
      <c r="B102" s="33"/>
      <c r="C102" s="35">
        <v>75403</v>
      </c>
      <c r="D102" s="35"/>
      <c r="E102" s="36" t="s">
        <v>621</v>
      </c>
      <c r="F102" s="63">
        <f aca="true" t="shared" si="61" ref="F102:AD102">SUM(F103:F103)</f>
        <v>2000</v>
      </c>
      <c r="G102" s="37">
        <f t="shared" si="61"/>
        <v>2000</v>
      </c>
      <c r="H102" s="38">
        <f t="shared" si="61"/>
        <v>0</v>
      </c>
      <c r="I102" s="38">
        <f t="shared" si="61"/>
        <v>0</v>
      </c>
      <c r="J102" s="38">
        <f t="shared" si="61"/>
        <v>0</v>
      </c>
      <c r="K102" s="38">
        <f t="shared" si="61"/>
        <v>0</v>
      </c>
      <c r="L102" s="38">
        <f t="shared" si="61"/>
        <v>0</v>
      </c>
      <c r="M102" s="38">
        <f t="shared" si="61"/>
        <v>0</v>
      </c>
      <c r="N102" s="38">
        <f t="shared" si="61"/>
        <v>0</v>
      </c>
      <c r="O102" s="38">
        <f t="shared" si="61"/>
        <v>0</v>
      </c>
      <c r="P102" s="39">
        <f t="shared" si="61"/>
        <v>2000</v>
      </c>
      <c r="Q102" s="37">
        <f t="shared" si="61"/>
        <v>0</v>
      </c>
      <c r="R102" s="37">
        <f t="shared" si="61"/>
        <v>0</v>
      </c>
      <c r="S102" s="37">
        <f t="shared" si="61"/>
        <v>0</v>
      </c>
      <c r="T102" s="37">
        <f t="shared" si="61"/>
        <v>0</v>
      </c>
      <c r="U102" s="37">
        <f t="shared" si="61"/>
        <v>0</v>
      </c>
      <c r="V102" s="37">
        <f t="shared" si="61"/>
        <v>0</v>
      </c>
      <c r="W102" s="37">
        <f t="shared" si="61"/>
        <v>0</v>
      </c>
      <c r="X102" s="37">
        <f t="shared" si="61"/>
        <v>0</v>
      </c>
      <c r="Y102" s="37">
        <f t="shared" si="61"/>
        <v>0</v>
      </c>
      <c r="Z102" s="37">
        <f t="shared" si="61"/>
        <v>0</v>
      </c>
      <c r="AA102" s="37">
        <f t="shared" si="61"/>
        <v>0</v>
      </c>
      <c r="AB102" s="37">
        <f t="shared" si="61"/>
        <v>0</v>
      </c>
      <c r="AC102" s="37">
        <f t="shared" si="61"/>
        <v>0</v>
      </c>
      <c r="AD102" s="37">
        <f t="shared" si="61"/>
        <v>2000</v>
      </c>
      <c r="AE102" s="337">
        <f t="shared" si="48"/>
        <v>0</v>
      </c>
    </row>
    <row r="103" spans="2:31" s="28" customFormat="1" ht="12.75">
      <c r="B103" s="33"/>
      <c r="C103" s="41"/>
      <c r="D103" s="41">
        <v>4210</v>
      </c>
      <c r="E103" s="42" t="s">
        <v>998</v>
      </c>
      <c r="F103" s="65">
        <v>2000</v>
      </c>
      <c r="G103" s="43">
        <v>2000</v>
      </c>
      <c r="H103" s="44"/>
      <c r="I103" s="44"/>
      <c r="J103" s="44"/>
      <c r="K103" s="44"/>
      <c r="L103" s="44"/>
      <c r="M103" s="44"/>
      <c r="N103" s="44"/>
      <c r="O103" s="44"/>
      <c r="P103" s="45">
        <f>G103+H103+I103+J103+K103+L103+M103+N103+O103</f>
        <v>2000</v>
      </c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6">
        <f>SUM(Q103:AB103)</f>
        <v>0</v>
      </c>
      <c r="AD103" s="43">
        <f>P103-AC103</f>
        <v>2000</v>
      </c>
      <c r="AE103" s="338">
        <f t="shared" si="48"/>
        <v>0</v>
      </c>
    </row>
    <row r="104" spans="2:31" s="28" customFormat="1" ht="12.75">
      <c r="B104" s="33"/>
      <c r="C104" s="35">
        <v>75412</v>
      </c>
      <c r="D104" s="35"/>
      <c r="E104" s="36" t="s">
        <v>622</v>
      </c>
      <c r="F104" s="63">
        <f>SUM(F105:F115)</f>
        <v>170100</v>
      </c>
      <c r="G104" s="37">
        <f>SUM(G105:G115)</f>
        <v>130100</v>
      </c>
      <c r="H104" s="38">
        <f>SUM(H105:H115)</f>
        <v>0</v>
      </c>
      <c r="I104" s="38">
        <f aca="true" t="shared" si="62" ref="I104:O104">SUM(I105:I115)</f>
        <v>0</v>
      </c>
      <c r="J104" s="38">
        <f t="shared" si="62"/>
        <v>0</v>
      </c>
      <c r="K104" s="38">
        <f t="shared" si="62"/>
        <v>0</v>
      </c>
      <c r="L104" s="38">
        <f t="shared" si="62"/>
        <v>0</v>
      </c>
      <c r="M104" s="38">
        <f t="shared" si="62"/>
        <v>0</v>
      </c>
      <c r="N104" s="38">
        <f t="shared" si="62"/>
        <v>0</v>
      </c>
      <c r="O104" s="38">
        <f t="shared" si="62"/>
        <v>0</v>
      </c>
      <c r="P104" s="39">
        <f>SUM(P105:P115)</f>
        <v>130100</v>
      </c>
      <c r="Q104" s="37">
        <f>SUM(Q105:Q115)</f>
        <v>5750.16</v>
      </c>
      <c r="R104" s="37">
        <f aca="true" t="shared" si="63" ref="R104:AB104">SUM(R105:R115)</f>
        <v>5368.33</v>
      </c>
      <c r="S104" s="37">
        <f t="shared" si="63"/>
        <v>9255.18</v>
      </c>
      <c r="T104" s="37">
        <f t="shared" si="63"/>
        <v>9691.25</v>
      </c>
      <c r="U104" s="37">
        <f>SUM(U105:U115)</f>
        <v>15740.53</v>
      </c>
      <c r="V104" s="37">
        <f>SUM(V105:V115)</f>
        <v>13559.75</v>
      </c>
      <c r="W104" s="37">
        <f t="shared" si="63"/>
        <v>0</v>
      </c>
      <c r="X104" s="37">
        <f t="shared" si="63"/>
        <v>0</v>
      </c>
      <c r="Y104" s="37">
        <f t="shared" si="63"/>
        <v>0</v>
      </c>
      <c r="Z104" s="37">
        <f t="shared" si="63"/>
        <v>0</v>
      </c>
      <c r="AA104" s="37">
        <f t="shared" si="63"/>
        <v>0</v>
      </c>
      <c r="AB104" s="37">
        <f t="shared" si="63"/>
        <v>0</v>
      </c>
      <c r="AC104" s="37">
        <f>SUM(AC105:AC115)</f>
        <v>59365.2</v>
      </c>
      <c r="AD104" s="37">
        <f>SUM(AD105:AD115)</f>
        <v>70734.79999999999</v>
      </c>
      <c r="AE104" s="337">
        <f t="shared" si="48"/>
        <v>45.6304381245196</v>
      </c>
    </row>
    <row r="105" spans="2:31" s="28" customFormat="1" ht="12.75">
      <c r="B105" s="33"/>
      <c r="C105" s="41"/>
      <c r="D105" s="41">
        <v>3030</v>
      </c>
      <c r="E105" s="42" t="s">
        <v>987</v>
      </c>
      <c r="F105" s="65">
        <v>25000</v>
      </c>
      <c r="G105" s="43">
        <v>25000</v>
      </c>
      <c r="H105" s="44"/>
      <c r="I105" s="44"/>
      <c r="J105" s="44"/>
      <c r="K105" s="44"/>
      <c r="L105" s="44"/>
      <c r="M105" s="44"/>
      <c r="N105" s="44"/>
      <c r="O105" s="44"/>
      <c r="P105" s="45">
        <f aca="true" t="shared" si="64" ref="P105:P115">G105+H105+I105+J105+K105+L105+M105+N105+O105</f>
        <v>25000</v>
      </c>
      <c r="Q105" s="43"/>
      <c r="R105" s="43"/>
      <c r="S105" s="43">
        <v>3082.5</v>
      </c>
      <c r="T105" s="43"/>
      <c r="U105" s="43"/>
      <c r="V105" s="43">
        <v>3861</v>
      </c>
      <c r="W105" s="43"/>
      <c r="X105" s="43"/>
      <c r="Y105" s="43"/>
      <c r="Z105" s="43"/>
      <c r="AA105" s="43"/>
      <c r="AB105" s="43"/>
      <c r="AC105" s="46">
        <f aca="true" t="shared" si="65" ref="AC105:AC114">SUM(Q105:AB105)</f>
        <v>6943.5</v>
      </c>
      <c r="AD105" s="43">
        <f aca="true" t="shared" si="66" ref="AD105:AD114">P105-AC105</f>
        <v>18056.5</v>
      </c>
      <c r="AE105" s="338">
        <f t="shared" si="48"/>
        <v>27.774</v>
      </c>
    </row>
    <row r="106" spans="2:31" s="28" customFormat="1" ht="12.75">
      <c r="B106" s="33"/>
      <c r="C106" s="41"/>
      <c r="D106" s="41">
        <v>4170</v>
      </c>
      <c r="E106" s="42" t="s">
        <v>640</v>
      </c>
      <c r="F106" s="65">
        <v>3600</v>
      </c>
      <c r="G106" s="43">
        <v>3600</v>
      </c>
      <c r="H106" s="44"/>
      <c r="I106" s="44"/>
      <c r="J106" s="44"/>
      <c r="K106" s="44"/>
      <c r="L106" s="44"/>
      <c r="M106" s="44"/>
      <c r="N106" s="44"/>
      <c r="O106" s="44"/>
      <c r="P106" s="45">
        <f t="shared" si="64"/>
        <v>3600</v>
      </c>
      <c r="Q106" s="43">
        <v>290.6</v>
      </c>
      <c r="R106" s="43">
        <v>300</v>
      </c>
      <c r="S106" s="43">
        <v>300</v>
      </c>
      <c r="T106" s="43">
        <v>300</v>
      </c>
      <c r="U106" s="43">
        <v>300</v>
      </c>
      <c r="V106" s="43">
        <v>300</v>
      </c>
      <c r="W106" s="43"/>
      <c r="X106" s="43"/>
      <c r="Y106" s="43"/>
      <c r="Z106" s="43"/>
      <c r="AA106" s="43"/>
      <c r="AB106" s="43"/>
      <c r="AC106" s="46">
        <f t="shared" si="65"/>
        <v>1790.6</v>
      </c>
      <c r="AD106" s="43">
        <f t="shared" si="66"/>
        <v>1809.4</v>
      </c>
      <c r="AE106" s="338">
        <f t="shared" si="48"/>
        <v>49.73888888888889</v>
      </c>
    </row>
    <row r="107" spans="2:31" s="28" customFormat="1" ht="12.75">
      <c r="B107" s="33"/>
      <c r="C107" s="41"/>
      <c r="D107" s="41">
        <v>4210</v>
      </c>
      <c r="E107" s="42" t="s">
        <v>998</v>
      </c>
      <c r="F107" s="65">
        <v>35300</v>
      </c>
      <c r="G107" s="43">
        <v>35300</v>
      </c>
      <c r="H107" s="44"/>
      <c r="I107" s="65">
        <v>-10000</v>
      </c>
      <c r="J107" s="65">
        <v>-4000</v>
      </c>
      <c r="K107" s="44"/>
      <c r="L107" s="44"/>
      <c r="M107" s="44"/>
      <c r="N107" s="44"/>
      <c r="O107" s="44"/>
      <c r="P107" s="45">
        <f t="shared" si="64"/>
        <v>21300</v>
      </c>
      <c r="Q107" s="43">
        <v>87.6</v>
      </c>
      <c r="R107" s="43">
        <v>2262.9</v>
      </c>
      <c r="S107" s="43">
        <v>255.22</v>
      </c>
      <c r="T107" s="43">
        <v>2449.28</v>
      </c>
      <c r="U107" s="43">
        <v>965.13</v>
      </c>
      <c r="V107" s="43">
        <v>2557.77</v>
      </c>
      <c r="W107" s="43"/>
      <c r="X107" s="43"/>
      <c r="Y107" s="43"/>
      <c r="Z107" s="43"/>
      <c r="AA107" s="43"/>
      <c r="AB107" s="43"/>
      <c r="AC107" s="46">
        <f t="shared" si="65"/>
        <v>8577.9</v>
      </c>
      <c r="AD107" s="43">
        <f t="shared" si="66"/>
        <v>12722.1</v>
      </c>
      <c r="AE107" s="338">
        <f t="shared" si="48"/>
        <v>40.27183098591549</v>
      </c>
    </row>
    <row r="108" spans="2:31" s="28" customFormat="1" ht="12.75">
      <c r="B108" s="33"/>
      <c r="C108" s="41"/>
      <c r="D108" s="41">
        <v>4260</v>
      </c>
      <c r="E108" s="42" t="s">
        <v>634</v>
      </c>
      <c r="F108" s="65">
        <v>9000</v>
      </c>
      <c r="G108" s="43">
        <v>9000</v>
      </c>
      <c r="H108" s="44"/>
      <c r="I108" s="44"/>
      <c r="J108" s="44"/>
      <c r="K108" s="44"/>
      <c r="L108" s="44"/>
      <c r="M108" s="44"/>
      <c r="N108" s="44"/>
      <c r="O108" s="44"/>
      <c r="P108" s="45">
        <f t="shared" si="64"/>
        <v>9000</v>
      </c>
      <c r="Q108" s="43">
        <v>233.66</v>
      </c>
      <c r="R108" s="43">
        <v>955.22</v>
      </c>
      <c r="S108" s="43">
        <v>522.68</v>
      </c>
      <c r="T108" s="43">
        <v>881.87</v>
      </c>
      <c r="U108" s="43"/>
      <c r="V108" s="43">
        <v>310.86</v>
      </c>
      <c r="W108" s="43"/>
      <c r="X108" s="43"/>
      <c r="Y108" s="43"/>
      <c r="Z108" s="43"/>
      <c r="AA108" s="43"/>
      <c r="AB108" s="43"/>
      <c r="AC108" s="46">
        <f t="shared" si="65"/>
        <v>2904.29</v>
      </c>
      <c r="AD108" s="43">
        <f t="shared" si="66"/>
        <v>6095.71</v>
      </c>
      <c r="AE108" s="338">
        <f t="shared" si="48"/>
        <v>32.269888888888886</v>
      </c>
    </row>
    <row r="109" spans="2:31" s="28" customFormat="1" ht="12.75">
      <c r="B109" s="33"/>
      <c r="C109" s="41"/>
      <c r="D109" s="41">
        <v>4270</v>
      </c>
      <c r="E109" s="42" t="s">
        <v>618</v>
      </c>
      <c r="F109" s="65">
        <v>62500</v>
      </c>
      <c r="G109" s="43">
        <f>62500-40000</f>
        <v>22500</v>
      </c>
      <c r="H109" s="44"/>
      <c r="I109" s="65">
        <v>-2000</v>
      </c>
      <c r="J109" s="44"/>
      <c r="K109" s="44"/>
      <c r="L109" s="44"/>
      <c r="M109" s="44"/>
      <c r="N109" s="44"/>
      <c r="O109" s="44"/>
      <c r="P109" s="45">
        <f t="shared" si="64"/>
        <v>20500</v>
      </c>
      <c r="Q109" s="43">
        <v>978.8</v>
      </c>
      <c r="R109" s="43">
        <v>1791.7</v>
      </c>
      <c r="S109" s="43">
        <v>1531</v>
      </c>
      <c r="T109" s="43">
        <v>3574.6</v>
      </c>
      <c r="U109" s="43">
        <v>54.9</v>
      </c>
      <c r="V109" s="43">
        <v>1031.15</v>
      </c>
      <c r="W109" s="43"/>
      <c r="X109" s="43"/>
      <c r="Y109" s="43"/>
      <c r="Z109" s="43"/>
      <c r="AA109" s="43"/>
      <c r="AB109" s="43"/>
      <c r="AC109" s="46">
        <f t="shared" si="65"/>
        <v>8962.15</v>
      </c>
      <c r="AD109" s="43">
        <f t="shared" si="66"/>
        <v>11537.85</v>
      </c>
      <c r="AE109" s="338">
        <f t="shared" si="48"/>
        <v>43.71780487804878</v>
      </c>
    </row>
    <row r="110" spans="2:31" s="28" customFormat="1" ht="12.75">
      <c r="B110" s="33"/>
      <c r="C110" s="41"/>
      <c r="D110" s="41">
        <v>4280</v>
      </c>
      <c r="E110" s="42" t="s">
        <v>641</v>
      </c>
      <c r="F110" s="65">
        <v>3000</v>
      </c>
      <c r="G110" s="43">
        <v>3000</v>
      </c>
      <c r="H110" s="44"/>
      <c r="I110" s="44"/>
      <c r="J110" s="44"/>
      <c r="K110" s="44"/>
      <c r="L110" s="44"/>
      <c r="M110" s="44"/>
      <c r="N110" s="44"/>
      <c r="O110" s="44"/>
      <c r="P110" s="45">
        <f t="shared" si="64"/>
        <v>3000</v>
      </c>
      <c r="Q110" s="43">
        <v>120</v>
      </c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6">
        <f>SUM(Q110:AB110)</f>
        <v>120</v>
      </c>
      <c r="AD110" s="43">
        <f>P110-AC110</f>
        <v>2880</v>
      </c>
      <c r="AE110" s="338">
        <f>AC110*100/P110</f>
        <v>4</v>
      </c>
    </row>
    <row r="111" spans="2:31" s="28" customFormat="1" ht="12.75">
      <c r="B111" s="33"/>
      <c r="C111" s="41"/>
      <c r="D111" s="41">
        <v>4300</v>
      </c>
      <c r="E111" s="42" t="s">
        <v>1000</v>
      </c>
      <c r="F111" s="65">
        <v>9000</v>
      </c>
      <c r="G111" s="43">
        <v>9000</v>
      </c>
      <c r="H111" s="44"/>
      <c r="I111" s="44"/>
      <c r="J111" s="44"/>
      <c r="K111" s="44"/>
      <c r="L111" s="44"/>
      <c r="M111" s="44"/>
      <c r="N111" s="44"/>
      <c r="O111" s="44"/>
      <c r="P111" s="45">
        <f t="shared" si="64"/>
        <v>9000</v>
      </c>
      <c r="Q111" s="43">
        <v>154</v>
      </c>
      <c r="R111" s="43"/>
      <c r="S111" s="43">
        <v>149</v>
      </c>
      <c r="T111" s="43"/>
      <c r="U111" s="43">
        <v>268.5</v>
      </c>
      <c r="V111" s="43">
        <v>159</v>
      </c>
      <c r="W111" s="43"/>
      <c r="X111" s="43"/>
      <c r="Y111" s="43"/>
      <c r="Z111" s="43"/>
      <c r="AA111" s="43"/>
      <c r="AB111" s="43"/>
      <c r="AC111" s="46">
        <f t="shared" si="65"/>
        <v>730.5</v>
      </c>
      <c r="AD111" s="43">
        <f t="shared" si="66"/>
        <v>8269.5</v>
      </c>
      <c r="AE111" s="338">
        <f t="shared" si="48"/>
        <v>8.116666666666667</v>
      </c>
    </row>
    <row r="112" spans="2:31" s="28" customFormat="1" ht="25.5">
      <c r="B112" s="33"/>
      <c r="C112" s="41"/>
      <c r="D112" s="41">
        <v>4360</v>
      </c>
      <c r="E112" s="42" t="s">
        <v>643</v>
      </c>
      <c r="F112" s="65">
        <v>200</v>
      </c>
      <c r="G112" s="43">
        <v>200</v>
      </c>
      <c r="H112" s="44"/>
      <c r="I112" s="44"/>
      <c r="J112" s="44"/>
      <c r="K112" s="44"/>
      <c r="L112" s="44"/>
      <c r="M112" s="44"/>
      <c r="N112" s="44"/>
      <c r="O112" s="44"/>
      <c r="P112" s="45">
        <f t="shared" si="64"/>
        <v>200</v>
      </c>
      <c r="Q112" s="43">
        <v>50</v>
      </c>
      <c r="R112" s="43"/>
      <c r="S112" s="43"/>
      <c r="T112" s="43">
        <v>50</v>
      </c>
      <c r="U112" s="43"/>
      <c r="V112" s="43"/>
      <c r="W112" s="43"/>
      <c r="X112" s="43"/>
      <c r="Y112" s="43"/>
      <c r="Z112" s="43"/>
      <c r="AA112" s="43"/>
      <c r="AB112" s="43"/>
      <c r="AC112" s="46">
        <f t="shared" si="65"/>
        <v>100</v>
      </c>
      <c r="AD112" s="43">
        <f t="shared" si="66"/>
        <v>100</v>
      </c>
      <c r="AE112" s="338">
        <f t="shared" si="48"/>
        <v>50</v>
      </c>
    </row>
    <row r="113" spans="2:31" s="28" customFormat="1" ht="12.75">
      <c r="B113" s="33"/>
      <c r="C113" s="41"/>
      <c r="D113" s="41">
        <v>4410</v>
      </c>
      <c r="E113" s="42" t="s">
        <v>635</v>
      </c>
      <c r="F113" s="65">
        <v>500</v>
      </c>
      <c r="G113" s="43">
        <v>500</v>
      </c>
      <c r="H113" s="44"/>
      <c r="I113" s="44"/>
      <c r="J113" s="44"/>
      <c r="K113" s="44"/>
      <c r="L113" s="44"/>
      <c r="M113" s="44"/>
      <c r="N113" s="44"/>
      <c r="O113" s="44"/>
      <c r="P113" s="45">
        <f t="shared" si="64"/>
        <v>500</v>
      </c>
      <c r="Q113" s="43"/>
      <c r="R113" s="43">
        <v>58.51</v>
      </c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6">
        <f t="shared" si="65"/>
        <v>58.51</v>
      </c>
      <c r="AD113" s="43">
        <f t="shared" si="66"/>
        <v>441.49</v>
      </c>
      <c r="AE113" s="338">
        <f t="shared" si="48"/>
        <v>11.702</v>
      </c>
    </row>
    <row r="114" spans="2:31" s="28" customFormat="1" ht="12.75">
      <c r="B114" s="33"/>
      <c r="C114" s="41"/>
      <c r="D114" s="41">
        <v>4430</v>
      </c>
      <c r="E114" s="42" t="s">
        <v>1007</v>
      </c>
      <c r="F114" s="65">
        <v>12000</v>
      </c>
      <c r="G114" s="43">
        <v>12000</v>
      </c>
      <c r="H114" s="44"/>
      <c r="I114" s="44"/>
      <c r="J114" s="44"/>
      <c r="K114" s="44"/>
      <c r="L114" s="44"/>
      <c r="M114" s="44"/>
      <c r="N114" s="44"/>
      <c r="O114" s="44"/>
      <c r="P114" s="45">
        <f t="shared" si="64"/>
        <v>12000</v>
      </c>
      <c r="Q114" s="43">
        <v>3835.5</v>
      </c>
      <c r="R114" s="43"/>
      <c r="S114" s="43"/>
      <c r="T114" s="43">
        <v>2435.5</v>
      </c>
      <c r="U114" s="43"/>
      <c r="V114" s="43"/>
      <c r="W114" s="43"/>
      <c r="X114" s="43"/>
      <c r="Y114" s="43"/>
      <c r="Z114" s="43"/>
      <c r="AA114" s="43"/>
      <c r="AB114" s="43"/>
      <c r="AC114" s="46">
        <f t="shared" si="65"/>
        <v>6271</v>
      </c>
      <c r="AD114" s="43">
        <f t="shared" si="66"/>
        <v>5729</v>
      </c>
      <c r="AE114" s="338">
        <f t="shared" si="48"/>
        <v>52.25833333333333</v>
      </c>
    </row>
    <row r="115" spans="2:31" s="28" customFormat="1" ht="63.75">
      <c r="B115" s="33"/>
      <c r="C115" s="35"/>
      <c r="D115" s="41">
        <v>6230</v>
      </c>
      <c r="E115" s="42" t="s">
        <v>623</v>
      </c>
      <c r="F115" s="65">
        <v>10000</v>
      </c>
      <c r="G115" s="43">
        <v>10000</v>
      </c>
      <c r="H115" s="44"/>
      <c r="I115" s="44">
        <f>10000+2000</f>
        <v>12000</v>
      </c>
      <c r="J115" s="44">
        <v>4000</v>
      </c>
      <c r="K115" s="44"/>
      <c r="L115" s="44"/>
      <c r="M115" s="44"/>
      <c r="N115" s="44"/>
      <c r="O115" s="44"/>
      <c r="P115" s="45">
        <f t="shared" si="64"/>
        <v>26000</v>
      </c>
      <c r="Q115" s="43"/>
      <c r="R115" s="43"/>
      <c r="S115" s="43">
        <v>3414.78</v>
      </c>
      <c r="T115" s="43"/>
      <c r="U115" s="43">
        <v>14152</v>
      </c>
      <c r="V115" s="43">
        <v>5339.97</v>
      </c>
      <c r="W115" s="43"/>
      <c r="X115" s="43"/>
      <c r="Y115" s="43"/>
      <c r="Z115" s="43"/>
      <c r="AA115" s="43"/>
      <c r="AB115" s="43"/>
      <c r="AC115" s="46">
        <f>SUM(Q115:AB115)</f>
        <v>22906.75</v>
      </c>
      <c r="AD115" s="43">
        <f>P115-AC115</f>
        <v>3093.25</v>
      </c>
      <c r="AE115" s="338">
        <f>AC115*100/P115</f>
        <v>88.10288461538461</v>
      </c>
    </row>
    <row r="116" spans="2:31" s="28" customFormat="1" ht="12.75">
      <c r="B116" s="33"/>
      <c r="C116" s="35">
        <v>75414</v>
      </c>
      <c r="D116" s="35"/>
      <c r="E116" s="36" t="s">
        <v>364</v>
      </c>
      <c r="F116" s="63">
        <f>SUM(F117:F120)</f>
        <v>2500</v>
      </c>
      <c r="G116" s="37">
        <f>SUM(G117:G120)</f>
        <v>2500</v>
      </c>
      <c r="H116" s="38">
        <f>SUM(H117:H120)</f>
        <v>0</v>
      </c>
      <c r="I116" s="38">
        <f aca="true" t="shared" si="67" ref="I116:O116">SUM(I117:I120)</f>
        <v>0</v>
      </c>
      <c r="J116" s="38">
        <f t="shared" si="67"/>
        <v>0</v>
      </c>
      <c r="K116" s="38">
        <f t="shared" si="67"/>
        <v>0</v>
      </c>
      <c r="L116" s="38">
        <f t="shared" si="67"/>
        <v>0</v>
      </c>
      <c r="M116" s="38">
        <f t="shared" si="67"/>
        <v>0</v>
      </c>
      <c r="N116" s="38">
        <f t="shared" si="67"/>
        <v>0</v>
      </c>
      <c r="O116" s="38">
        <f t="shared" si="67"/>
        <v>0</v>
      </c>
      <c r="P116" s="39">
        <f>SUM(P117:P120)</f>
        <v>2500</v>
      </c>
      <c r="Q116" s="37">
        <f>SUM(Q117:Q120)</f>
        <v>0</v>
      </c>
      <c r="R116" s="37">
        <f aca="true" t="shared" si="68" ref="R116:AB116">SUM(R117:R120)</f>
        <v>0</v>
      </c>
      <c r="S116" s="37">
        <f t="shared" si="68"/>
        <v>0</v>
      </c>
      <c r="T116" s="37">
        <f t="shared" si="68"/>
        <v>0</v>
      </c>
      <c r="U116" s="37">
        <f t="shared" si="68"/>
        <v>0</v>
      </c>
      <c r="V116" s="37">
        <f t="shared" si="68"/>
        <v>0</v>
      </c>
      <c r="W116" s="37">
        <f t="shared" si="68"/>
        <v>0</v>
      </c>
      <c r="X116" s="37">
        <f t="shared" si="68"/>
        <v>0</v>
      </c>
      <c r="Y116" s="37">
        <f t="shared" si="68"/>
        <v>0</v>
      </c>
      <c r="Z116" s="37">
        <f t="shared" si="68"/>
        <v>0</v>
      </c>
      <c r="AA116" s="37">
        <f t="shared" si="68"/>
        <v>0</v>
      </c>
      <c r="AB116" s="37">
        <f t="shared" si="68"/>
        <v>0</v>
      </c>
      <c r="AC116" s="37">
        <f>SUM(AC117:AC120)</f>
        <v>0</v>
      </c>
      <c r="AD116" s="37">
        <f>SUM(AD117:AD120)</f>
        <v>2500</v>
      </c>
      <c r="AE116" s="337">
        <f t="shared" si="48"/>
        <v>0</v>
      </c>
    </row>
    <row r="117" spans="2:31" s="28" customFormat="1" ht="12.75">
      <c r="B117" s="33"/>
      <c r="C117" s="41"/>
      <c r="D117" s="41">
        <v>4170</v>
      </c>
      <c r="E117" s="42" t="s">
        <v>640</v>
      </c>
      <c r="F117" s="65">
        <v>600</v>
      </c>
      <c r="G117" s="43">
        <v>600</v>
      </c>
      <c r="H117" s="44"/>
      <c r="I117" s="44"/>
      <c r="J117" s="44"/>
      <c r="K117" s="44"/>
      <c r="L117" s="44"/>
      <c r="M117" s="44"/>
      <c r="N117" s="44"/>
      <c r="O117" s="44"/>
      <c r="P117" s="45">
        <f>G117+H117+I117+J117+K117+L117+M117+N117+O117</f>
        <v>600</v>
      </c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6">
        <f>SUM(Q117:AB117)</f>
        <v>0</v>
      </c>
      <c r="AD117" s="43">
        <f>P117-AC117</f>
        <v>600</v>
      </c>
      <c r="AE117" s="338">
        <f t="shared" si="48"/>
        <v>0</v>
      </c>
    </row>
    <row r="118" spans="2:31" s="28" customFormat="1" ht="12.75">
      <c r="B118" s="33"/>
      <c r="C118" s="41"/>
      <c r="D118" s="41">
        <v>4210</v>
      </c>
      <c r="E118" s="42" t="s">
        <v>998</v>
      </c>
      <c r="F118" s="65">
        <v>800</v>
      </c>
      <c r="G118" s="43">
        <v>800</v>
      </c>
      <c r="H118" s="44"/>
      <c r="I118" s="44"/>
      <c r="J118" s="44"/>
      <c r="K118" s="44"/>
      <c r="L118" s="44"/>
      <c r="M118" s="44"/>
      <c r="N118" s="44"/>
      <c r="O118" s="44"/>
      <c r="P118" s="45">
        <f>G118+H118+I118+J118+K118+L118+M118+N118+O118</f>
        <v>800</v>
      </c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6">
        <f>SUM(Q118:AB118)</f>
        <v>0</v>
      </c>
      <c r="AD118" s="43">
        <f>P118-AC118</f>
        <v>800</v>
      </c>
      <c r="AE118" s="338">
        <f t="shared" si="48"/>
        <v>0</v>
      </c>
    </row>
    <row r="119" spans="2:31" s="28" customFormat="1" ht="12.75">
      <c r="B119" s="33"/>
      <c r="C119" s="41"/>
      <c r="D119" s="41">
        <v>4300</v>
      </c>
      <c r="E119" s="42" t="s">
        <v>1000</v>
      </c>
      <c r="F119" s="65">
        <v>1000</v>
      </c>
      <c r="G119" s="43">
        <v>1000</v>
      </c>
      <c r="H119" s="44"/>
      <c r="I119" s="44"/>
      <c r="J119" s="44"/>
      <c r="K119" s="44"/>
      <c r="L119" s="44"/>
      <c r="M119" s="44"/>
      <c r="N119" s="44"/>
      <c r="O119" s="44"/>
      <c r="P119" s="45">
        <f>G119+H119+I119+J119+K119+L119+M119+N119+O119</f>
        <v>1000</v>
      </c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6">
        <f>SUM(Q119:AB119)</f>
        <v>0</v>
      </c>
      <c r="AD119" s="43">
        <f>P119-AC119</f>
        <v>1000</v>
      </c>
      <c r="AE119" s="338">
        <f t="shared" si="48"/>
        <v>0</v>
      </c>
    </row>
    <row r="120" spans="2:31" s="28" customFormat="1" ht="12.75">
      <c r="B120" s="33"/>
      <c r="C120" s="41"/>
      <c r="D120" s="41">
        <v>4410</v>
      </c>
      <c r="E120" s="42" t="s">
        <v>635</v>
      </c>
      <c r="F120" s="65">
        <v>100</v>
      </c>
      <c r="G120" s="43">
        <v>100</v>
      </c>
      <c r="H120" s="44"/>
      <c r="I120" s="44"/>
      <c r="J120" s="44"/>
      <c r="K120" s="44"/>
      <c r="L120" s="44"/>
      <c r="M120" s="44"/>
      <c r="N120" s="44"/>
      <c r="O120" s="44"/>
      <c r="P120" s="45">
        <f>G120+H120+I120+J120+K120+L120+M120+N120+O120</f>
        <v>100</v>
      </c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6">
        <f>SUM(Q120:AB120)</f>
        <v>0</v>
      </c>
      <c r="AD120" s="43">
        <f>P120-AC120</f>
        <v>100</v>
      </c>
      <c r="AE120" s="338">
        <f t="shared" si="48"/>
        <v>0</v>
      </c>
    </row>
    <row r="121" spans="2:31" s="28" customFormat="1" ht="12.75">
      <c r="B121" s="33"/>
      <c r="C121" s="35">
        <v>75421</v>
      </c>
      <c r="D121" s="35"/>
      <c r="E121" s="36" t="s">
        <v>1055</v>
      </c>
      <c r="F121" s="63">
        <f>SUM(F122:F122)</f>
        <v>800</v>
      </c>
      <c r="G121" s="37">
        <f>SUM(G122:G122)</f>
        <v>2800</v>
      </c>
      <c r="H121" s="38">
        <f>SUM(H122:H122)</f>
        <v>0</v>
      </c>
      <c r="I121" s="38">
        <f aca="true" t="shared" si="69" ref="I121:O121">SUM(I122:I122)</f>
        <v>0</v>
      </c>
      <c r="J121" s="38">
        <f t="shared" si="69"/>
        <v>0</v>
      </c>
      <c r="K121" s="38">
        <f t="shared" si="69"/>
        <v>0</v>
      </c>
      <c r="L121" s="38">
        <f t="shared" si="69"/>
        <v>0</v>
      </c>
      <c r="M121" s="38">
        <f t="shared" si="69"/>
        <v>0</v>
      </c>
      <c r="N121" s="38">
        <f t="shared" si="69"/>
        <v>0</v>
      </c>
      <c r="O121" s="38">
        <f t="shared" si="69"/>
        <v>0</v>
      </c>
      <c r="P121" s="39">
        <f>SUM(P122:P122)</f>
        <v>2800</v>
      </c>
      <c r="Q121" s="37">
        <f>SUM(Q122:Q122)</f>
        <v>38.37</v>
      </c>
      <c r="R121" s="37">
        <f aca="true" t="shared" si="70" ref="R121:AD121">SUM(R122:R122)</f>
        <v>37.82</v>
      </c>
      <c r="S121" s="37">
        <f t="shared" si="70"/>
        <v>40</v>
      </c>
      <c r="T121" s="37">
        <f t="shared" si="70"/>
        <v>39.04</v>
      </c>
      <c r="U121" s="37">
        <f t="shared" si="70"/>
        <v>55.08</v>
      </c>
      <c r="V121" s="37">
        <f t="shared" si="70"/>
        <v>0</v>
      </c>
      <c r="W121" s="37">
        <f t="shared" si="70"/>
        <v>0</v>
      </c>
      <c r="X121" s="37">
        <f t="shared" si="70"/>
        <v>0</v>
      </c>
      <c r="Y121" s="37">
        <f t="shared" si="70"/>
        <v>0</v>
      </c>
      <c r="Z121" s="37">
        <f t="shared" si="70"/>
        <v>0</v>
      </c>
      <c r="AA121" s="37">
        <f t="shared" si="70"/>
        <v>0</v>
      </c>
      <c r="AB121" s="37">
        <f t="shared" si="70"/>
        <v>0</v>
      </c>
      <c r="AC121" s="37">
        <f>SUM(AC122:AC123)</f>
        <v>210.31</v>
      </c>
      <c r="AD121" s="37">
        <f t="shared" si="70"/>
        <v>2800</v>
      </c>
      <c r="AE121" s="337">
        <f t="shared" si="48"/>
        <v>7.511071428571428</v>
      </c>
    </row>
    <row r="122" spans="2:31" s="28" customFormat="1" ht="12.75">
      <c r="B122" s="33"/>
      <c r="C122" s="41"/>
      <c r="D122" s="41">
        <v>4810</v>
      </c>
      <c r="E122" s="42" t="s">
        <v>676</v>
      </c>
      <c r="F122" s="65">
        <v>800</v>
      </c>
      <c r="G122" s="43">
        <v>2800</v>
      </c>
      <c r="H122" s="44"/>
      <c r="I122" s="44"/>
      <c r="J122" s="44"/>
      <c r="K122" s="44"/>
      <c r="L122" s="44"/>
      <c r="M122" s="44"/>
      <c r="N122" s="44"/>
      <c r="O122" s="44"/>
      <c r="P122" s="45">
        <f>G122+H122+I122+J122+K122+L122+M122+N122+O122</f>
        <v>2800</v>
      </c>
      <c r="Q122" s="43">
        <v>38.37</v>
      </c>
      <c r="R122" s="43">
        <v>37.82</v>
      </c>
      <c r="S122" s="43">
        <v>40</v>
      </c>
      <c r="T122" s="43">
        <v>39.04</v>
      </c>
      <c r="U122" s="43">
        <v>55.08</v>
      </c>
      <c r="V122" s="43"/>
      <c r="W122" s="43"/>
      <c r="X122" s="43"/>
      <c r="Y122" s="43"/>
      <c r="Z122" s="43"/>
      <c r="AA122" s="43"/>
      <c r="AB122" s="43"/>
      <c r="AC122" s="46"/>
      <c r="AD122" s="43">
        <f>P122-AC122</f>
        <v>2800</v>
      </c>
      <c r="AE122" s="338">
        <f t="shared" si="48"/>
        <v>0</v>
      </c>
    </row>
    <row r="123" spans="2:31" s="28" customFormat="1" ht="25.5">
      <c r="B123" s="33"/>
      <c r="C123" s="41"/>
      <c r="D123" s="41">
        <v>4360</v>
      </c>
      <c r="E123" s="42" t="s">
        <v>643</v>
      </c>
      <c r="F123" s="65"/>
      <c r="G123" s="43"/>
      <c r="H123" s="44"/>
      <c r="I123" s="44"/>
      <c r="J123" s="44"/>
      <c r="K123" s="44"/>
      <c r="L123" s="44"/>
      <c r="M123" s="44"/>
      <c r="N123" s="44"/>
      <c r="O123" s="44"/>
      <c r="P123" s="45">
        <f>G123+H123+I123+J123+K123+L123+M123+N123+O123</f>
        <v>0</v>
      </c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6">
        <v>210.31</v>
      </c>
      <c r="AD123" s="43"/>
      <c r="AE123" s="338">
        <v>0</v>
      </c>
    </row>
    <row r="124" spans="2:31" s="28" customFormat="1" ht="38.25">
      <c r="B124" s="53">
        <v>756</v>
      </c>
      <c r="C124" s="54"/>
      <c r="D124" s="54"/>
      <c r="E124" s="55" t="s">
        <v>624</v>
      </c>
      <c r="F124" s="62">
        <f>F125</f>
        <v>45600</v>
      </c>
      <c r="G124" s="51">
        <f>G125</f>
        <v>45600</v>
      </c>
      <c r="H124" s="52">
        <f>H125</f>
        <v>2000</v>
      </c>
      <c r="I124" s="52">
        <f aca="true" t="shared" si="71" ref="I124:O124">I125</f>
        <v>0</v>
      </c>
      <c r="J124" s="52">
        <f t="shared" si="71"/>
        <v>0</v>
      </c>
      <c r="K124" s="52">
        <f t="shared" si="71"/>
        <v>0</v>
      </c>
      <c r="L124" s="52">
        <f t="shared" si="71"/>
        <v>0</v>
      </c>
      <c r="M124" s="52">
        <f t="shared" si="71"/>
        <v>0</v>
      </c>
      <c r="N124" s="52">
        <f t="shared" si="71"/>
        <v>0</v>
      </c>
      <c r="O124" s="52">
        <f t="shared" si="71"/>
        <v>0</v>
      </c>
      <c r="P124" s="51">
        <f>P125</f>
        <v>47600</v>
      </c>
      <c r="Q124" s="51">
        <f>Q125</f>
        <v>841.0799999999999</v>
      </c>
      <c r="R124" s="51">
        <f aca="true" t="shared" si="72" ref="R124:AB124">R125</f>
        <v>1233.2</v>
      </c>
      <c r="S124" s="51">
        <f t="shared" si="72"/>
        <v>9733.119999999999</v>
      </c>
      <c r="T124" s="51">
        <f t="shared" si="72"/>
        <v>2133.54</v>
      </c>
      <c r="U124" s="51">
        <f t="shared" si="72"/>
        <v>8237.22</v>
      </c>
      <c r="V124" s="51">
        <f t="shared" si="72"/>
        <v>1909.3100000000002</v>
      </c>
      <c r="W124" s="51">
        <f t="shared" si="72"/>
        <v>0</v>
      </c>
      <c r="X124" s="51">
        <f t="shared" si="72"/>
        <v>0</v>
      </c>
      <c r="Y124" s="51">
        <f t="shared" si="72"/>
        <v>0</v>
      </c>
      <c r="Z124" s="51">
        <f t="shared" si="72"/>
        <v>0</v>
      </c>
      <c r="AA124" s="51">
        <f t="shared" si="72"/>
        <v>0</v>
      </c>
      <c r="AB124" s="51">
        <f t="shared" si="72"/>
        <v>0</v>
      </c>
      <c r="AC124" s="51">
        <f>AC125</f>
        <v>24087.469999999994</v>
      </c>
      <c r="AD124" s="51">
        <f>AD125</f>
        <v>23512.530000000006</v>
      </c>
      <c r="AE124" s="336">
        <f t="shared" si="48"/>
        <v>50.60392857142856</v>
      </c>
    </row>
    <row r="125" spans="2:31" s="28" customFormat="1" ht="25.5">
      <c r="B125" s="33"/>
      <c r="C125" s="35">
        <v>75647</v>
      </c>
      <c r="D125" s="35"/>
      <c r="E125" s="36" t="s">
        <v>625</v>
      </c>
      <c r="F125" s="63">
        <f>SUM(F126:F129)</f>
        <v>45600</v>
      </c>
      <c r="G125" s="37">
        <f>SUM(G126:G129)</f>
        <v>45600</v>
      </c>
      <c r="H125" s="38">
        <f>SUM(H126:H129)</f>
        <v>2000</v>
      </c>
      <c r="I125" s="38">
        <f aca="true" t="shared" si="73" ref="I125:O125">SUM(I126:I129)</f>
        <v>0</v>
      </c>
      <c r="J125" s="38">
        <f t="shared" si="73"/>
        <v>0</v>
      </c>
      <c r="K125" s="38">
        <f t="shared" si="73"/>
        <v>0</v>
      </c>
      <c r="L125" s="38">
        <f t="shared" si="73"/>
        <v>0</v>
      </c>
      <c r="M125" s="38">
        <f t="shared" si="73"/>
        <v>0</v>
      </c>
      <c r="N125" s="38">
        <f t="shared" si="73"/>
        <v>0</v>
      </c>
      <c r="O125" s="38">
        <f t="shared" si="73"/>
        <v>0</v>
      </c>
      <c r="P125" s="39">
        <f>SUM(P126:P129)</f>
        <v>47600</v>
      </c>
      <c r="Q125" s="37">
        <f>SUM(Q126:Q129)</f>
        <v>841.0799999999999</v>
      </c>
      <c r="R125" s="37">
        <f aca="true" t="shared" si="74" ref="R125:AB125">SUM(R126:R129)</f>
        <v>1233.2</v>
      </c>
      <c r="S125" s="37">
        <f t="shared" si="74"/>
        <v>9733.119999999999</v>
      </c>
      <c r="T125" s="37">
        <f t="shared" si="74"/>
        <v>2133.54</v>
      </c>
      <c r="U125" s="37">
        <f t="shared" si="74"/>
        <v>8237.22</v>
      </c>
      <c r="V125" s="37">
        <f t="shared" si="74"/>
        <v>1909.3100000000002</v>
      </c>
      <c r="W125" s="37">
        <f t="shared" si="74"/>
        <v>0</v>
      </c>
      <c r="X125" s="37">
        <f t="shared" si="74"/>
        <v>0</v>
      </c>
      <c r="Y125" s="37">
        <f t="shared" si="74"/>
        <v>0</v>
      </c>
      <c r="Z125" s="37">
        <f t="shared" si="74"/>
        <v>0</v>
      </c>
      <c r="AA125" s="37">
        <f t="shared" si="74"/>
        <v>0</v>
      </c>
      <c r="AB125" s="37">
        <f t="shared" si="74"/>
        <v>0</v>
      </c>
      <c r="AC125" s="37">
        <f>SUM(AC126:AC129)</f>
        <v>24087.469999999994</v>
      </c>
      <c r="AD125" s="37">
        <f>SUM(AD126:AD129)</f>
        <v>23512.530000000006</v>
      </c>
      <c r="AE125" s="337">
        <f t="shared" si="48"/>
        <v>50.60392857142856</v>
      </c>
    </row>
    <row r="126" spans="2:31" s="28" customFormat="1" ht="12.75">
      <c r="B126" s="33"/>
      <c r="C126" s="41"/>
      <c r="D126" s="41">
        <v>4100</v>
      </c>
      <c r="E126" s="42" t="s">
        <v>626</v>
      </c>
      <c r="F126" s="65">
        <v>43000</v>
      </c>
      <c r="G126" s="43">
        <v>43000</v>
      </c>
      <c r="H126" s="44"/>
      <c r="I126" s="44"/>
      <c r="J126" s="44"/>
      <c r="K126" s="44"/>
      <c r="L126" s="44"/>
      <c r="M126" s="44"/>
      <c r="N126" s="44"/>
      <c r="O126" s="44"/>
      <c r="P126" s="45">
        <f>G126+H126+I126+J126+K126+L126+M126+N126+O126</f>
        <v>43000</v>
      </c>
      <c r="Q126" s="43">
        <v>238.68</v>
      </c>
      <c r="R126" s="43">
        <v>181.22</v>
      </c>
      <c r="S126" s="43">
        <v>9651.82</v>
      </c>
      <c r="T126" s="43">
        <v>2076.54</v>
      </c>
      <c r="U126" s="43">
        <v>8204.9</v>
      </c>
      <c r="V126" s="43">
        <v>1879.92</v>
      </c>
      <c r="W126" s="43"/>
      <c r="X126" s="43"/>
      <c r="Y126" s="43"/>
      <c r="Z126" s="43"/>
      <c r="AA126" s="43"/>
      <c r="AB126" s="43"/>
      <c r="AC126" s="46">
        <f>SUM(Q126:AB126)</f>
        <v>22233.079999999994</v>
      </c>
      <c r="AD126" s="43">
        <f>P126-AC126</f>
        <v>20766.920000000006</v>
      </c>
      <c r="AE126" s="338">
        <f t="shared" si="48"/>
        <v>51.70483720930231</v>
      </c>
    </row>
    <row r="127" spans="2:31" s="28" customFormat="1" ht="12.75">
      <c r="B127" s="33"/>
      <c r="C127" s="41"/>
      <c r="D127" s="41">
        <v>4210</v>
      </c>
      <c r="E127" s="42" t="s">
        <v>998</v>
      </c>
      <c r="F127" s="65">
        <v>100</v>
      </c>
      <c r="G127" s="43">
        <v>100</v>
      </c>
      <c r="H127" s="44">
        <v>2000</v>
      </c>
      <c r="I127" s="44"/>
      <c r="J127" s="44"/>
      <c r="K127" s="44"/>
      <c r="L127" s="44"/>
      <c r="M127" s="44"/>
      <c r="N127" s="44"/>
      <c r="O127" s="44"/>
      <c r="P127" s="45">
        <f>G127+H127+I127+J127+K127+L127+M127+N127+O127</f>
        <v>2100</v>
      </c>
      <c r="Q127" s="43">
        <v>298.12</v>
      </c>
      <c r="R127" s="43">
        <v>854</v>
      </c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6">
        <f>SUM(Q127:AB127)</f>
        <v>1152.12</v>
      </c>
      <c r="AD127" s="43">
        <f>P127-AC127</f>
        <v>947.8800000000001</v>
      </c>
      <c r="AE127" s="338">
        <f t="shared" si="48"/>
        <v>54.86285714285714</v>
      </c>
    </row>
    <row r="128" spans="2:31" s="28" customFormat="1" ht="12.75" hidden="1">
      <c r="B128" s="33"/>
      <c r="C128" s="41"/>
      <c r="D128" s="41">
        <v>4300</v>
      </c>
      <c r="E128" s="42" t="s">
        <v>1000</v>
      </c>
      <c r="F128" s="65"/>
      <c r="G128" s="43"/>
      <c r="H128" s="44"/>
      <c r="I128" s="44"/>
      <c r="J128" s="44"/>
      <c r="K128" s="44"/>
      <c r="L128" s="44"/>
      <c r="M128" s="44"/>
      <c r="N128" s="44"/>
      <c r="O128" s="44"/>
      <c r="P128" s="45">
        <f>G128+H128+I128+J128+K128+L128+M128+N128+O128</f>
        <v>0</v>
      </c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6">
        <f>SUM(Q128:AB128)</f>
        <v>0</v>
      </c>
      <c r="AD128" s="43">
        <f>P128-AC128</f>
        <v>0</v>
      </c>
      <c r="AE128" s="338" t="e">
        <f>AC128*100/P128</f>
        <v>#DIV/0!</v>
      </c>
    </row>
    <row r="129" spans="2:31" s="28" customFormat="1" ht="25.5">
      <c r="B129" s="33"/>
      <c r="C129" s="41"/>
      <c r="D129" s="41">
        <v>4610</v>
      </c>
      <c r="E129" s="42" t="s">
        <v>627</v>
      </c>
      <c r="F129" s="65">
        <v>2500</v>
      </c>
      <c r="G129" s="43">
        <v>2500</v>
      </c>
      <c r="H129" s="44"/>
      <c r="I129" s="44"/>
      <c r="J129" s="44"/>
      <c r="K129" s="44"/>
      <c r="L129" s="44"/>
      <c r="M129" s="44"/>
      <c r="N129" s="44"/>
      <c r="O129" s="44"/>
      <c r="P129" s="45">
        <f>G129+H129+I129+J129+K129+L129+M129+N129+O129</f>
        <v>2500</v>
      </c>
      <c r="Q129" s="43">
        <v>304.28</v>
      </c>
      <c r="R129" s="43">
        <v>197.98</v>
      </c>
      <c r="S129" s="43">
        <v>81.3</v>
      </c>
      <c r="T129" s="43">
        <v>57</v>
      </c>
      <c r="U129" s="43">
        <v>32.32</v>
      </c>
      <c r="V129" s="43">
        <v>29.39</v>
      </c>
      <c r="W129" s="43"/>
      <c r="X129" s="43"/>
      <c r="Y129" s="43"/>
      <c r="Z129" s="43"/>
      <c r="AA129" s="43"/>
      <c r="AB129" s="43"/>
      <c r="AC129" s="46">
        <f>SUM(Q129:AB129)</f>
        <v>702.27</v>
      </c>
      <c r="AD129" s="43">
        <f>P129-AC129</f>
        <v>1797.73</v>
      </c>
      <c r="AE129" s="338">
        <f t="shared" si="48"/>
        <v>28.0908</v>
      </c>
    </row>
    <row r="130" spans="2:31" s="28" customFormat="1" ht="12.75">
      <c r="B130" s="53">
        <v>757</v>
      </c>
      <c r="C130" s="54"/>
      <c r="D130" s="54"/>
      <c r="E130" s="55" t="s">
        <v>628</v>
      </c>
      <c r="F130" s="62">
        <f aca="true" t="shared" si="75" ref="F130:AD130">F131</f>
        <v>143537</v>
      </c>
      <c r="G130" s="51">
        <f t="shared" si="75"/>
        <v>143537</v>
      </c>
      <c r="H130" s="52">
        <f t="shared" si="75"/>
        <v>0</v>
      </c>
      <c r="I130" s="52">
        <f t="shared" si="75"/>
        <v>0</v>
      </c>
      <c r="J130" s="52">
        <f t="shared" si="75"/>
        <v>0</v>
      </c>
      <c r="K130" s="52">
        <f t="shared" si="75"/>
        <v>0</v>
      </c>
      <c r="L130" s="52">
        <f t="shared" si="75"/>
        <v>0</v>
      </c>
      <c r="M130" s="52">
        <f t="shared" si="75"/>
        <v>0</v>
      </c>
      <c r="N130" s="52">
        <f t="shared" si="75"/>
        <v>0</v>
      </c>
      <c r="O130" s="52">
        <f t="shared" si="75"/>
        <v>0</v>
      </c>
      <c r="P130" s="51">
        <f>P131</f>
        <v>143537</v>
      </c>
      <c r="Q130" s="51">
        <f t="shared" si="75"/>
        <v>15073.31</v>
      </c>
      <c r="R130" s="51">
        <f t="shared" si="75"/>
        <v>15034.5</v>
      </c>
      <c r="S130" s="51">
        <f t="shared" si="75"/>
        <v>16663.02</v>
      </c>
      <c r="T130" s="51">
        <f t="shared" si="75"/>
        <v>15811.05</v>
      </c>
      <c r="U130" s="51">
        <f t="shared" si="75"/>
        <v>15801.12</v>
      </c>
      <c r="V130" s="51">
        <f t="shared" si="75"/>
        <v>16148.34</v>
      </c>
      <c r="W130" s="51">
        <f t="shared" si="75"/>
        <v>0</v>
      </c>
      <c r="X130" s="51">
        <f t="shared" si="75"/>
        <v>0</v>
      </c>
      <c r="Y130" s="51">
        <f t="shared" si="75"/>
        <v>0</v>
      </c>
      <c r="Z130" s="51">
        <f t="shared" si="75"/>
        <v>0</v>
      </c>
      <c r="AA130" s="51">
        <f t="shared" si="75"/>
        <v>0</v>
      </c>
      <c r="AB130" s="51">
        <f t="shared" si="75"/>
        <v>0</v>
      </c>
      <c r="AC130" s="51">
        <f t="shared" si="75"/>
        <v>94531.34</v>
      </c>
      <c r="AD130" s="51">
        <f t="shared" si="75"/>
        <v>49005.66</v>
      </c>
      <c r="AE130" s="336">
        <f t="shared" si="48"/>
        <v>65.85851731609272</v>
      </c>
    </row>
    <row r="131" spans="2:31" s="28" customFormat="1" ht="38.25">
      <c r="B131" s="33"/>
      <c r="C131" s="35">
        <v>75702</v>
      </c>
      <c r="D131" s="35"/>
      <c r="E131" s="36" t="s">
        <v>629</v>
      </c>
      <c r="F131" s="63">
        <f>SUM(F132:F132)</f>
        <v>143537</v>
      </c>
      <c r="G131" s="37">
        <f>SUM(G132:G132)</f>
        <v>143537</v>
      </c>
      <c r="H131" s="38">
        <f>SUM(H132:H132)</f>
        <v>0</v>
      </c>
      <c r="I131" s="38">
        <f aca="true" t="shared" si="76" ref="I131:O131">SUM(I132:I132)</f>
        <v>0</v>
      </c>
      <c r="J131" s="38">
        <f t="shared" si="76"/>
        <v>0</v>
      </c>
      <c r="K131" s="38">
        <f t="shared" si="76"/>
        <v>0</v>
      </c>
      <c r="L131" s="38">
        <f t="shared" si="76"/>
        <v>0</v>
      </c>
      <c r="M131" s="38">
        <f t="shared" si="76"/>
        <v>0</v>
      </c>
      <c r="N131" s="38">
        <f t="shared" si="76"/>
        <v>0</v>
      </c>
      <c r="O131" s="38">
        <f t="shared" si="76"/>
        <v>0</v>
      </c>
      <c r="P131" s="68">
        <f>SUM(P132:P132)</f>
        <v>143537</v>
      </c>
      <c r="Q131" s="37">
        <f>SUM(Q132:Q132)</f>
        <v>15073.31</v>
      </c>
      <c r="R131" s="37">
        <f aca="true" t="shared" si="77" ref="R131:AB131">SUM(R132:R132)</f>
        <v>15034.5</v>
      </c>
      <c r="S131" s="37">
        <f t="shared" si="77"/>
        <v>16663.02</v>
      </c>
      <c r="T131" s="37">
        <f t="shared" si="77"/>
        <v>15811.05</v>
      </c>
      <c r="U131" s="37">
        <f t="shared" si="77"/>
        <v>15801.12</v>
      </c>
      <c r="V131" s="37">
        <f t="shared" si="77"/>
        <v>16148.34</v>
      </c>
      <c r="W131" s="37">
        <f t="shared" si="77"/>
        <v>0</v>
      </c>
      <c r="X131" s="37">
        <f t="shared" si="77"/>
        <v>0</v>
      </c>
      <c r="Y131" s="37">
        <f t="shared" si="77"/>
        <v>0</v>
      </c>
      <c r="Z131" s="37">
        <f t="shared" si="77"/>
        <v>0</v>
      </c>
      <c r="AA131" s="37">
        <f t="shared" si="77"/>
        <v>0</v>
      </c>
      <c r="AB131" s="37">
        <f t="shared" si="77"/>
        <v>0</v>
      </c>
      <c r="AC131" s="37">
        <f>SUM(AC132:AC132)</f>
        <v>94531.34</v>
      </c>
      <c r="AD131" s="37">
        <f>SUM(AD132:AD132)</f>
        <v>49005.66</v>
      </c>
      <c r="AE131" s="337">
        <f t="shared" si="48"/>
        <v>65.85851731609272</v>
      </c>
    </row>
    <row r="132" spans="2:31" s="28" customFormat="1" ht="38.25">
      <c r="B132" s="33"/>
      <c r="C132" s="41"/>
      <c r="D132" s="41">
        <v>8070</v>
      </c>
      <c r="E132" s="42" t="s">
        <v>674</v>
      </c>
      <c r="F132" s="65">
        <v>143537</v>
      </c>
      <c r="G132" s="43">
        <v>143537</v>
      </c>
      <c r="H132" s="44"/>
      <c r="I132" s="44"/>
      <c r="J132" s="44"/>
      <c r="K132" s="44"/>
      <c r="L132" s="44"/>
      <c r="M132" s="44"/>
      <c r="N132" s="44"/>
      <c r="O132" s="44"/>
      <c r="P132" s="45">
        <f>G132+H132+I132+J132+K132+L132+M132+N132+O132</f>
        <v>143537</v>
      </c>
      <c r="Q132" s="43">
        <v>15073.31</v>
      </c>
      <c r="R132" s="43">
        <v>15034.5</v>
      </c>
      <c r="S132" s="43">
        <v>16663.02</v>
      </c>
      <c r="T132" s="43">
        <v>15811.05</v>
      </c>
      <c r="U132" s="43">
        <v>15801.12</v>
      </c>
      <c r="V132" s="43">
        <v>16148.34</v>
      </c>
      <c r="W132" s="43"/>
      <c r="X132" s="43"/>
      <c r="Y132" s="43"/>
      <c r="Z132" s="43"/>
      <c r="AA132" s="43"/>
      <c r="AB132" s="43"/>
      <c r="AC132" s="46">
        <f>SUM(Q132:AB132)</f>
        <v>94531.34</v>
      </c>
      <c r="AD132" s="43">
        <f>P132-AC132</f>
        <v>49005.66</v>
      </c>
      <c r="AE132" s="338">
        <f t="shared" si="48"/>
        <v>65.85851731609272</v>
      </c>
    </row>
    <row r="133" spans="2:31" s="28" customFormat="1" ht="12.75">
      <c r="B133" s="53">
        <v>758</v>
      </c>
      <c r="C133" s="54"/>
      <c r="D133" s="54"/>
      <c r="E133" s="55" t="s">
        <v>540</v>
      </c>
      <c r="F133" s="62">
        <f>F134</f>
        <v>50000</v>
      </c>
      <c r="G133" s="51">
        <f>G134</f>
        <v>50000</v>
      </c>
      <c r="H133" s="52">
        <f>H134</f>
        <v>18618</v>
      </c>
      <c r="I133" s="52">
        <f aca="true" t="shared" si="78" ref="I133:O133">I134</f>
        <v>0</v>
      </c>
      <c r="J133" s="52">
        <f t="shared" si="78"/>
        <v>0</v>
      </c>
      <c r="K133" s="52">
        <f t="shared" si="78"/>
        <v>0</v>
      </c>
      <c r="L133" s="52">
        <f t="shared" si="78"/>
        <v>0</v>
      </c>
      <c r="M133" s="52">
        <f t="shared" si="78"/>
        <v>0</v>
      </c>
      <c r="N133" s="52">
        <f t="shared" si="78"/>
        <v>0</v>
      </c>
      <c r="O133" s="52">
        <f t="shared" si="78"/>
        <v>0</v>
      </c>
      <c r="P133" s="51">
        <f>P134</f>
        <v>68618</v>
      </c>
      <c r="Q133" s="51">
        <f>Q134</f>
        <v>0</v>
      </c>
      <c r="R133" s="51">
        <f aca="true" t="shared" si="79" ref="R133:AB133">R134</f>
        <v>0</v>
      </c>
      <c r="S133" s="51">
        <f t="shared" si="79"/>
        <v>0</v>
      </c>
      <c r="T133" s="51">
        <f t="shared" si="79"/>
        <v>0</v>
      </c>
      <c r="U133" s="51">
        <f t="shared" si="79"/>
        <v>0</v>
      </c>
      <c r="V133" s="51">
        <f t="shared" si="79"/>
        <v>0</v>
      </c>
      <c r="W133" s="51">
        <f t="shared" si="79"/>
        <v>0</v>
      </c>
      <c r="X133" s="51">
        <f t="shared" si="79"/>
        <v>0</v>
      </c>
      <c r="Y133" s="51">
        <f t="shared" si="79"/>
        <v>0</v>
      </c>
      <c r="Z133" s="51">
        <f t="shared" si="79"/>
        <v>0</v>
      </c>
      <c r="AA133" s="51">
        <f t="shared" si="79"/>
        <v>0</v>
      </c>
      <c r="AB133" s="51">
        <f t="shared" si="79"/>
        <v>0</v>
      </c>
      <c r="AC133" s="51">
        <f>AC134</f>
        <v>0</v>
      </c>
      <c r="AD133" s="51">
        <f>AD134</f>
        <v>68618</v>
      </c>
      <c r="AE133" s="336">
        <f t="shared" si="48"/>
        <v>0</v>
      </c>
    </row>
    <row r="134" spans="2:31" s="28" customFormat="1" ht="12.75">
      <c r="B134" s="33"/>
      <c r="C134" s="35">
        <v>75818</v>
      </c>
      <c r="D134" s="35"/>
      <c r="E134" s="36" t="s">
        <v>675</v>
      </c>
      <c r="F134" s="63">
        <f aca="true" t="shared" si="80" ref="F134:AD134">SUM(F135:F135)</f>
        <v>50000</v>
      </c>
      <c r="G134" s="37">
        <f t="shared" si="80"/>
        <v>50000</v>
      </c>
      <c r="H134" s="38">
        <f t="shared" si="80"/>
        <v>18618</v>
      </c>
      <c r="I134" s="38">
        <f t="shared" si="80"/>
        <v>0</v>
      </c>
      <c r="J134" s="38">
        <f t="shared" si="80"/>
        <v>0</v>
      </c>
      <c r="K134" s="38">
        <f t="shared" si="80"/>
        <v>0</v>
      </c>
      <c r="L134" s="38">
        <f t="shared" si="80"/>
        <v>0</v>
      </c>
      <c r="M134" s="38">
        <f t="shared" si="80"/>
        <v>0</v>
      </c>
      <c r="N134" s="38">
        <f t="shared" si="80"/>
        <v>0</v>
      </c>
      <c r="O134" s="38">
        <f t="shared" si="80"/>
        <v>0</v>
      </c>
      <c r="P134" s="68">
        <f>SUM(P135:P135)</f>
        <v>68618</v>
      </c>
      <c r="Q134" s="37">
        <f t="shared" si="80"/>
        <v>0</v>
      </c>
      <c r="R134" s="37">
        <f t="shared" si="80"/>
        <v>0</v>
      </c>
      <c r="S134" s="37">
        <f t="shared" si="80"/>
        <v>0</v>
      </c>
      <c r="T134" s="37">
        <f t="shared" si="80"/>
        <v>0</v>
      </c>
      <c r="U134" s="37">
        <f t="shared" si="80"/>
        <v>0</v>
      </c>
      <c r="V134" s="37">
        <f t="shared" si="80"/>
        <v>0</v>
      </c>
      <c r="W134" s="37">
        <f t="shared" si="80"/>
        <v>0</v>
      </c>
      <c r="X134" s="37">
        <f t="shared" si="80"/>
        <v>0</v>
      </c>
      <c r="Y134" s="37">
        <f t="shared" si="80"/>
        <v>0</v>
      </c>
      <c r="Z134" s="37">
        <f t="shared" si="80"/>
        <v>0</v>
      </c>
      <c r="AA134" s="37">
        <f t="shared" si="80"/>
        <v>0</v>
      </c>
      <c r="AB134" s="37">
        <f t="shared" si="80"/>
        <v>0</v>
      </c>
      <c r="AC134" s="37">
        <f t="shared" si="80"/>
        <v>0</v>
      </c>
      <c r="AD134" s="37">
        <f t="shared" si="80"/>
        <v>68618</v>
      </c>
      <c r="AE134" s="338">
        <f t="shared" si="48"/>
        <v>0</v>
      </c>
    </row>
    <row r="135" spans="2:31" s="28" customFormat="1" ht="12.75">
      <c r="B135" s="33"/>
      <c r="C135" s="41"/>
      <c r="D135" s="41">
        <v>4810</v>
      </c>
      <c r="E135" s="42" t="s">
        <v>676</v>
      </c>
      <c r="F135" s="65">
        <v>50000</v>
      </c>
      <c r="G135" s="43">
        <v>50000</v>
      </c>
      <c r="H135" s="44">
        <v>18618</v>
      </c>
      <c r="I135" s="44"/>
      <c r="J135" s="44"/>
      <c r="K135" s="44"/>
      <c r="L135" s="44"/>
      <c r="M135" s="44"/>
      <c r="N135" s="44"/>
      <c r="O135" s="44"/>
      <c r="P135" s="45">
        <f>G135+H135+I135+J135+K135+L135+M135+N135+O135</f>
        <v>68618</v>
      </c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6">
        <f>SUM(Q135:AB135)</f>
        <v>0</v>
      </c>
      <c r="AD135" s="43">
        <f>P135-AC135</f>
        <v>68618</v>
      </c>
      <c r="AE135" s="338">
        <f t="shared" si="48"/>
        <v>0</v>
      </c>
    </row>
    <row r="136" spans="2:31" s="28" customFormat="1" ht="12.75">
      <c r="B136" s="53">
        <v>801</v>
      </c>
      <c r="C136" s="54"/>
      <c r="D136" s="54"/>
      <c r="E136" s="55" t="s">
        <v>546</v>
      </c>
      <c r="F136" s="62">
        <f>F137+F179+F203+F226+F235+F253+F250+F160</f>
        <v>7935374</v>
      </c>
      <c r="G136" s="51">
        <f>G137+G179+G203+G226+G235+G253+G250+G160</f>
        <v>6851590</v>
      </c>
      <c r="H136" s="52">
        <f>H137+H179+H203+H226+H235+H253+H250+H160</f>
        <v>493983</v>
      </c>
      <c r="I136" s="52">
        <f aca="true" t="shared" si="81" ref="I136:O136">I137+I179+I203+I226+I235+I253+I250+I160</f>
        <v>0</v>
      </c>
      <c r="J136" s="52">
        <f t="shared" si="81"/>
        <v>60908</v>
      </c>
      <c r="K136" s="52">
        <f t="shared" si="81"/>
        <v>0</v>
      </c>
      <c r="L136" s="52">
        <f t="shared" si="81"/>
        <v>0</v>
      </c>
      <c r="M136" s="52">
        <f t="shared" si="81"/>
        <v>0</v>
      </c>
      <c r="N136" s="52">
        <f t="shared" si="81"/>
        <v>0</v>
      </c>
      <c r="O136" s="52">
        <f t="shared" si="81"/>
        <v>0</v>
      </c>
      <c r="P136" s="51">
        <f>P137+P179+P203+P226+P235+P253+P250+P160</f>
        <v>7406481</v>
      </c>
      <c r="Q136" s="51">
        <f>Q137+Q179+Q203+Q226+Q235+Q253+Q250+Q160</f>
        <v>538747.5899999999</v>
      </c>
      <c r="R136" s="51">
        <f aca="true" t="shared" si="82" ref="R136:AB136">R137+R179+R203+R226+R235+R253+R250+R160</f>
        <v>574956.9999999999</v>
      </c>
      <c r="S136" s="51">
        <f t="shared" si="82"/>
        <v>852441.6400000002</v>
      </c>
      <c r="T136" s="51">
        <f t="shared" si="82"/>
        <v>758192.2000000003</v>
      </c>
      <c r="U136" s="51">
        <f t="shared" si="82"/>
        <v>554098.35</v>
      </c>
      <c r="V136" s="51">
        <f t="shared" si="82"/>
        <v>560801.48</v>
      </c>
      <c r="W136" s="51">
        <f t="shared" si="82"/>
        <v>0</v>
      </c>
      <c r="X136" s="51">
        <f t="shared" si="82"/>
        <v>0</v>
      </c>
      <c r="Y136" s="51">
        <f t="shared" si="82"/>
        <v>0</v>
      </c>
      <c r="Z136" s="51">
        <f t="shared" si="82"/>
        <v>0</v>
      </c>
      <c r="AA136" s="51">
        <f t="shared" si="82"/>
        <v>0</v>
      </c>
      <c r="AB136" s="51">
        <f t="shared" si="82"/>
        <v>0</v>
      </c>
      <c r="AC136" s="51">
        <f>AC137+AC179+AC203+AC226+AC235+AC253+AC250+AC160</f>
        <v>3839238.26</v>
      </c>
      <c r="AD136" s="51">
        <f>AD137+AD179+AD203+AD226+AD235+AD253+AD250+AD160</f>
        <v>3567242.7399999993</v>
      </c>
      <c r="AE136" s="336">
        <f t="shared" si="48"/>
        <v>51.836199404278496</v>
      </c>
    </row>
    <row r="137" spans="2:31" s="28" customFormat="1" ht="12.75">
      <c r="B137" s="33"/>
      <c r="C137" s="35">
        <v>80101</v>
      </c>
      <c r="D137" s="35"/>
      <c r="E137" s="36" t="s">
        <v>547</v>
      </c>
      <c r="F137" s="63">
        <f>SUM(F138:F159)</f>
        <v>3812119</v>
      </c>
      <c r="G137" s="37">
        <f>SUM(G138:G159)</f>
        <v>3195592</v>
      </c>
      <c r="H137" s="38">
        <f>SUM(H138:H159)</f>
        <v>232586</v>
      </c>
      <c r="I137" s="38">
        <f aca="true" t="shared" si="83" ref="I137:O137">SUM(I138:I159)</f>
        <v>0</v>
      </c>
      <c r="J137" s="63">
        <f t="shared" si="83"/>
        <v>-6390</v>
      </c>
      <c r="K137" s="38">
        <f t="shared" si="83"/>
        <v>0</v>
      </c>
      <c r="L137" s="38">
        <f t="shared" si="83"/>
        <v>0</v>
      </c>
      <c r="M137" s="38">
        <f t="shared" si="83"/>
        <v>0</v>
      </c>
      <c r="N137" s="38">
        <f t="shared" si="83"/>
        <v>0</v>
      </c>
      <c r="O137" s="38">
        <f t="shared" si="83"/>
        <v>0</v>
      </c>
      <c r="P137" s="39">
        <f>SUM(P138:P159)</f>
        <v>3421788</v>
      </c>
      <c r="Q137" s="37">
        <f>SUM(Q138:Q159)</f>
        <v>250632.61999999994</v>
      </c>
      <c r="R137" s="37">
        <f aca="true" t="shared" si="84" ref="R137:AB137">SUM(R138:R159)</f>
        <v>268972.79</v>
      </c>
      <c r="S137" s="37">
        <f t="shared" si="84"/>
        <v>387986.5100000001</v>
      </c>
      <c r="T137" s="37">
        <f t="shared" si="84"/>
        <v>347398.1400000001</v>
      </c>
      <c r="U137" s="37">
        <f t="shared" si="84"/>
        <v>235878.71</v>
      </c>
      <c r="V137" s="37">
        <f t="shared" si="84"/>
        <v>183787.41999999998</v>
      </c>
      <c r="W137" s="37">
        <f t="shared" si="84"/>
        <v>0</v>
      </c>
      <c r="X137" s="37">
        <f t="shared" si="84"/>
        <v>0</v>
      </c>
      <c r="Y137" s="37">
        <f t="shared" si="84"/>
        <v>0</v>
      </c>
      <c r="Z137" s="37">
        <f t="shared" si="84"/>
        <v>0</v>
      </c>
      <c r="AA137" s="37">
        <f t="shared" si="84"/>
        <v>0</v>
      </c>
      <c r="AB137" s="37">
        <f t="shared" si="84"/>
        <v>0</v>
      </c>
      <c r="AC137" s="37">
        <f>SUM(AC138:AC159)</f>
        <v>1674656.19</v>
      </c>
      <c r="AD137" s="37">
        <f>SUM(AD138:AD159)</f>
        <v>1747131.8099999998</v>
      </c>
      <c r="AE137" s="337">
        <f t="shared" si="48"/>
        <v>48.940968581338176</v>
      </c>
    </row>
    <row r="138" spans="2:31" s="28" customFormat="1" ht="25.5">
      <c r="B138" s="33"/>
      <c r="C138" s="41"/>
      <c r="D138" s="41">
        <v>3020</v>
      </c>
      <c r="E138" s="42" t="s">
        <v>637</v>
      </c>
      <c r="F138" s="65">
        <v>132813</v>
      </c>
      <c r="G138" s="43">
        <v>127540</v>
      </c>
      <c r="H138" s="44">
        <v>12600</v>
      </c>
      <c r="I138" s="44"/>
      <c r="J138" s="44"/>
      <c r="K138" s="44"/>
      <c r="L138" s="44"/>
      <c r="M138" s="44"/>
      <c r="N138" s="44"/>
      <c r="O138" s="44"/>
      <c r="P138" s="45">
        <f aca="true" t="shared" si="85" ref="P138:P159">G138+H138+I138+J138+K138+L138+M138+N138+O138</f>
        <v>140140</v>
      </c>
      <c r="Q138" s="43">
        <v>9190.87</v>
      </c>
      <c r="R138" s="43">
        <v>8613.58</v>
      </c>
      <c r="S138" s="43">
        <v>2639.61</v>
      </c>
      <c r="T138" s="43">
        <v>2654.97</v>
      </c>
      <c r="U138" s="43">
        <v>2925.16</v>
      </c>
      <c r="V138" s="43">
        <v>2918.01</v>
      </c>
      <c r="W138" s="43"/>
      <c r="X138" s="43"/>
      <c r="Y138" s="43"/>
      <c r="Z138" s="43"/>
      <c r="AA138" s="43"/>
      <c r="AB138" s="43"/>
      <c r="AC138" s="46">
        <f aca="true" t="shared" si="86" ref="AC138:AC155">SUM(Q138:AB138)</f>
        <v>28942.200000000004</v>
      </c>
      <c r="AD138" s="43">
        <f aca="true" t="shared" si="87" ref="AD138:AD155">P138-AC138</f>
        <v>111197.79999999999</v>
      </c>
      <c r="AE138" s="338">
        <f t="shared" si="48"/>
        <v>20.652347652347654</v>
      </c>
    </row>
    <row r="139" spans="2:31" s="28" customFormat="1" ht="12.75" hidden="1">
      <c r="B139" s="33"/>
      <c r="C139" s="41"/>
      <c r="D139" s="41">
        <v>3260</v>
      </c>
      <c r="E139" s="42" t="s">
        <v>677</v>
      </c>
      <c r="F139" s="65"/>
      <c r="G139" s="43"/>
      <c r="H139" s="44"/>
      <c r="I139" s="44"/>
      <c r="J139" s="44"/>
      <c r="K139" s="44"/>
      <c r="L139" s="44"/>
      <c r="M139" s="44"/>
      <c r="N139" s="44"/>
      <c r="O139" s="44"/>
      <c r="P139" s="45">
        <f t="shared" si="85"/>
        <v>0</v>
      </c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6">
        <f t="shared" si="86"/>
        <v>0</v>
      </c>
      <c r="AD139" s="43">
        <f t="shared" si="87"/>
        <v>0</v>
      </c>
      <c r="AE139" s="338" t="e">
        <f t="shared" si="48"/>
        <v>#DIV/0!</v>
      </c>
    </row>
    <row r="140" spans="2:31" s="28" customFormat="1" ht="12.75">
      <c r="B140" s="33"/>
      <c r="C140" s="41"/>
      <c r="D140" s="41">
        <v>4010</v>
      </c>
      <c r="E140" s="42" t="s">
        <v>631</v>
      </c>
      <c r="F140" s="65">
        <v>1953814</v>
      </c>
      <c r="G140" s="43">
        <v>1895750</v>
      </c>
      <c r="H140" s="44">
        <v>171091</v>
      </c>
      <c r="I140" s="44"/>
      <c r="J140" s="44">
        <v>25000</v>
      </c>
      <c r="K140" s="44"/>
      <c r="L140" s="44"/>
      <c r="M140" s="44"/>
      <c r="N140" s="44"/>
      <c r="O140" s="44"/>
      <c r="P140" s="45">
        <f t="shared" si="85"/>
        <v>2091841</v>
      </c>
      <c r="Q140" s="43">
        <v>150398.31</v>
      </c>
      <c r="R140" s="43">
        <v>147321.83</v>
      </c>
      <c r="S140" s="43">
        <v>145388.67</v>
      </c>
      <c r="T140" s="43">
        <v>183295.42</v>
      </c>
      <c r="U140" s="43">
        <v>169464.68</v>
      </c>
      <c r="V140" s="43">
        <v>155359.39</v>
      </c>
      <c r="W140" s="43"/>
      <c r="X140" s="43"/>
      <c r="Y140" s="43"/>
      <c r="Z140" s="43"/>
      <c r="AA140" s="43"/>
      <c r="AB140" s="43"/>
      <c r="AC140" s="46">
        <f t="shared" si="86"/>
        <v>951228.3000000002</v>
      </c>
      <c r="AD140" s="43">
        <f t="shared" si="87"/>
        <v>1140612.6999999997</v>
      </c>
      <c r="AE140" s="338">
        <f t="shared" si="48"/>
        <v>45.473260156962226</v>
      </c>
    </row>
    <row r="141" spans="2:31" s="28" customFormat="1" ht="12.75">
      <c r="B141" s="33"/>
      <c r="C141" s="41"/>
      <c r="D141" s="41">
        <v>4040</v>
      </c>
      <c r="E141" s="42" t="s">
        <v>638</v>
      </c>
      <c r="F141" s="65">
        <v>156530</v>
      </c>
      <c r="G141" s="43">
        <v>156530</v>
      </c>
      <c r="H141" s="44"/>
      <c r="I141" s="65">
        <v>-17031</v>
      </c>
      <c r="J141" s="44"/>
      <c r="K141" s="44"/>
      <c r="L141" s="44"/>
      <c r="M141" s="44"/>
      <c r="N141" s="44"/>
      <c r="O141" s="44"/>
      <c r="P141" s="45">
        <f t="shared" si="85"/>
        <v>139499</v>
      </c>
      <c r="Q141" s="43"/>
      <c r="R141" s="43"/>
      <c r="S141" s="43">
        <v>95987.67</v>
      </c>
      <c r="T141" s="43">
        <v>43509.9</v>
      </c>
      <c r="U141" s="43"/>
      <c r="V141" s="43"/>
      <c r="W141" s="43"/>
      <c r="X141" s="43"/>
      <c r="Y141" s="43"/>
      <c r="Z141" s="43"/>
      <c r="AA141" s="43"/>
      <c r="AB141" s="43"/>
      <c r="AC141" s="46">
        <f t="shared" si="86"/>
        <v>139497.57</v>
      </c>
      <c r="AD141" s="43">
        <f t="shared" si="87"/>
        <v>1.429999999993015</v>
      </c>
      <c r="AE141" s="338">
        <f t="shared" si="48"/>
        <v>99.9989749030459</v>
      </c>
    </row>
    <row r="142" spans="2:31" s="28" customFormat="1" ht="12.75">
      <c r="B142" s="33"/>
      <c r="C142" s="41"/>
      <c r="D142" s="41">
        <v>4110</v>
      </c>
      <c r="E142" s="42" t="s">
        <v>632</v>
      </c>
      <c r="F142" s="65">
        <v>374870</v>
      </c>
      <c r="G142" s="43">
        <v>323760</v>
      </c>
      <c r="H142" s="44">
        <v>33700</v>
      </c>
      <c r="I142" s="44"/>
      <c r="J142" s="44">
        <v>4000</v>
      </c>
      <c r="K142" s="44"/>
      <c r="L142" s="44"/>
      <c r="M142" s="44"/>
      <c r="N142" s="44"/>
      <c r="O142" s="44"/>
      <c r="P142" s="45">
        <f t="shared" si="85"/>
        <v>361460</v>
      </c>
      <c r="Q142" s="43">
        <v>25813.68</v>
      </c>
      <c r="R142" s="43">
        <v>21762</v>
      </c>
      <c r="S142" s="43">
        <v>23758.63</v>
      </c>
      <c r="T142" s="43">
        <v>42858.48</v>
      </c>
      <c r="U142" s="43">
        <v>29149.33</v>
      </c>
      <c r="V142" s="43">
        <v>23276.62</v>
      </c>
      <c r="W142" s="43"/>
      <c r="X142" s="43"/>
      <c r="Y142" s="43"/>
      <c r="Z142" s="43"/>
      <c r="AA142" s="43"/>
      <c r="AB142" s="43"/>
      <c r="AC142" s="46">
        <f t="shared" si="86"/>
        <v>166618.74</v>
      </c>
      <c r="AD142" s="43">
        <f t="shared" si="87"/>
        <v>194841.26</v>
      </c>
      <c r="AE142" s="338">
        <f aca="true" t="shared" si="88" ref="AE142:AE211">AC142*100/P142</f>
        <v>46.096038289160624</v>
      </c>
    </row>
    <row r="143" spans="2:31" s="28" customFormat="1" ht="12.75">
      <c r="B143" s="33"/>
      <c r="C143" s="41"/>
      <c r="D143" s="41">
        <v>4120</v>
      </c>
      <c r="E143" s="42" t="s">
        <v>639</v>
      </c>
      <c r="F143" s="65">
        <v>52860</v>
      </c>
      <c r="G143" s="43">
        <v>50780</v>
      </c>
      <c r="H143" s="44">
        <v>5000</v>
      </c>
      <c r="I143" s="44"/>
      <c r="J143" s="44">
        <v>610</v>
      </c>
      <c r="K143" s="44"/>
      <c r="L143" s="44"/>
      <c r="M143" s="44"/>
      <c r="N143" s="44"/>
      <c r="O143" s="44"/>
      <c r="P143" s="45">
        <f t="shared" si="85"/>
        <v>56390</v>
      </c>
      <c r="Q143" s="43">
        <v>3588.9</v>
      </c>
      <c r="R143" s="43">
        <v>3563.57</v>
      </c>
      <c r="S143" s="43">
        <v>3631.86</v>
      </c>
      <c r="T143" s="43">
        <v>6996.22</v>
      </c>
      <c r="U143" s="43">
        <v>4836.19</v>
      </c>
      <c r="V143" s="43">
        <v>3782.27</v>
      </c>
      <c r="W143" s="43"/>
      <c r="X143" s="43"/>
      <c r="Y143" s="43"/>
      <c r="Z143" s="43"/>
      <c r="AA143" s="43"/>
      <c r="AB143" s="43"/>
      <c r="AC143" s="46">
        <f t="shared" si="86"/>
        <v>26399.01</v>
      </c>
      <c r="AD143" s="43">
        <f t="shared" si="87"/>
        <v>29990.99</v>
      </c>
      <c r="AE143" s="338">
        <f t="shared" si="88"/>
        <v>46.81505586096826</v>
      </c>
    </row>
    <row r="144" spans="2:31" s="28" customFormat="1" ht="12.75">
      <c r="B144" s="33"/>
      <c r="C144" s="41"/>
      <c r="D144" s="41">
        <v>4210</v>
      </c>
      <c r="E144" s="42" t="s">
        <v>998</v>
      </c>
      <c r="F144" s="65">
        <v>197000</v>
      </c>
      <c r="G144" s="43">
        <v>197000</v>
      </c>
      <c r="H144" s="44"/>
      <c r="I144" s="44">
        <v>3600</v>
      </c>
      <c r="J144" s="65">
        <v>-20000</v>
      </c>
      <c r="K144" s="44"/>
      <c r="L144" s="44"/>
      <c r="M144" s="44"/>
      <c r="N144" s="44"/>
      <c r="O144" s="44"/>
      <c r="P144" s="45">
        <f t="shared" si="85"/>
        <v>180600</v>
      </c>
      <c r="Q144" s="43">
        <v>33947.64</v>
      </c>
      <c r="R144" s="43">
        <v>9229.2</v>
      </c>
      <c r="S144" s="43">
        <v>35964.7</v>
      </c>
      <c r="T144" s="43">
        <v>27370.18</v>
      </c>
      <c r="U144" s="43">
        <v>14480.78</v>
      </c>
      <c r="V144" s="43">
        <v>5548.02</v>
      </c>
      <c r="W144" s="43"/>
      <c r="X144" s="43"/>
      <c r="Y144" s="43"/>
      <c r="Z144" s="43"/>
      <c r="AA144" s="43"/>
      <c r="AB144" s="43"/>
      <c r="AC144" s="46">
        <f t="shared" si="86"/>
        <v>126540.52</v>
      </c>
      <c r="AD144" s="43">
        <f t="shared" si="87"/>
        <v>54059.479999999996</v>
      </c>
      <c r="AE144" s="338">
        <f t="shared" si="88"/>
        <v>70.06673311184939</v>
      </c>
    </row>
    <row r="145" spans="2:31" s="28" customFormat="1" ht="12.75">
      <c r="B145" s="33"/>
      <c r="C145" s="41"/>
      <c r="D145" s="41">
        <v>4240</v>
      </c>
      <c r="E145" s="42" t="s">
        <v>678</v>
      </c>
      <c r="F145" s="65">
        <v>14150</v>
      </c>
      <c r="G145" s="43">
        <v>14150</v>
      </c>
      <c r="H145" s="44"/>
      <c r="I145" s="44"/>
      <c r="J145" s="65">
        <v>-4000</v>
      </c>
      <c r="K145" s="44"/>
      <c r="L145" s="44"/>
      <c r="M145" s="44"/>
      <c r="N145" s="44"/>
      <c r="O145" s="44"/>
      <c r="P145" s="45">
        <f t="shared" si="85"/>
        <v>10150</v>
      </c>
      <c r="Q145" s="43"/>
      <c r="R145" s="43">
        <v>504.46</v>
      </c>
      <c r="S145" s="43">
        <v>534.4</v>
      </c>
      <c r="T145" s="43">
        <v>476.02</v>
      </c>
      <c r="U145" s="43">
        <v>354.29</v>
      </c>
      <c r="V145" s="43">
        <v>1254.33</v>
      </c>
      <c r="W145" s="43"/>
      <c r="X145" s="43"/>
      <c r="Y145" s="43"/>
      <c r="Z145" s="43"/>
      <c r="AA145" s="43"/>
      <c r="AB145" s="43"/>
      <c r="AC145" s="46">
        <f t="shared" si="86"/>
        <v>3123.5</v>
      </c>
      <c r="AD145" s="43">
        <f t="shared" si="87"/>
        <v>7026.5</v>
      </c>
      <c r="AE145" s="338">
        <f t="shared" si="88"/>
        <v>30.773399014778324</v>
      </c>
    </row>
    <row r="146" spans="2:31" s="28" customFormat="1" ht="12.75">
      <c r="B146" s="33"/>
      <c r="C146" s="41"/>
      <c r="D146" s="41">
        <v>4260</v>
      </c>
      <c r="E146" s="42" t="s">
        <v>634</v>
      </c>
      <c r="F146" s="65">
        <v>126000</v>
      </c>
      <c r="G146" s="43">
        <v>126000</v>
      </c>
      <c r="H146" s="44"/>
      <c r="I146" s="44"/>
      <c r="J146" s="44"/>
      <c r="K146" s="44"/>
      <c r="L146" s="44"/>
      <c r="M146" s="44"/>
      <c r="N146" s="44"/>
      <c r="O146" s="44"/>
      <c r="P146" s="45">
        <f t="shared" si="85"/>
        <v>126000</v>
      </c>
      <c r="Q146" s="43">
        <v>17271.43</v>
      </c>
      <c r="R146" s="43">
        <v>35336.76</v>
      </c>
      <c r="S146" s="43">
        <v>18019.18</v>
      </c>
      <c r="T146" s="43">
        <v>24477.32</v>
      </c>
      <c r="U146" s="43">
        <v>2111.5</v>
      </c>
      <c r="V146" s="65">
        <v>-16202.04</v>
      </c>
      <c r="W146" s="43"/>
      <c r="X146" s="43"/>
      <c r="Y146" s="43"/>
      <c r="Z146" s="43"/>
      <c r="AA146" s="43"/>
      <c r="AB146" s="43"/>
      <c r="AC146" s="46">
        <f t="shared" si="86"/>
        <v>81014.15</v>
      </c>
      <c r="AD146" s="43">
        <f t="shared" si="87"/>
        <v>44985.850000000006</v>
      </c>
      <c r="AE146" s="338">
        <f t="shared" si="88"/>
        <v>64.29694444444443</v>
      </c>
    </row>
    <row r="147" spans="2:31" s="28" customFormat="1" ht="12.75">
      <c r="B147" s="33"/>
      <c r="C147" s="41"/>
      <c r="D147" s="41">
        <v>4270</v>
      </c>
      <c r="E147" s="42" t="s">
        <v>999</v>
      </c>
      <c r="F147" s="65">
        <v>54000</v>
      </c>
      <c r="G147" s="43">
        <v>84000</v>
      </c>
      <c r="H147" s="44"/>
      <c r="I147" s="44">
        <v>5491</v>
      </c>
      <c r="J147" s="65">
        <f>12000-40000</f>
        <v>-28000</v>
      </c>
      <c r="K147" s="44"/>
      <c r="L147" s="44"/>
      <c r="M147" s="44"/>
      <c r="N147" s="44"/>
      <c r="O147" s="44"/>
      <c r="P147" s="45">
        <f t="shared" si="85"/>
        <v>61491</v>
      </c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6">
        <f t="shared" si="86"/>
        <v>0</v>
      </c>
      <c r="AD147" s="43">
        <f t="shared" si="87"/>
        <v>61491</v>
      </c>
      <c r="AE147" s="338">
        <f t="shared" si="88"/>
        <v>0</v>
      </c>
    </row>
    <row r="148" spans="2:31" s="28" customFormat="1" ht="12.75">
      <c r="B148" s="33"/>
      <c r="C148" s="41"/>
      <c r="D148" s="41">
        <v>4280</v>
      </c>
      <c r="E148" s="42" t="s">
        <v>641</v>
      </c>
      <c r="F148" s="65">
        <v>6400</v>
      </c>
      <c r="G148" s="43">
        <v>6400</v>
      </c>
      <c r="H148" s="44"/>
      <c r="I148" s="44">
        <v>1500</v>
      </c>
      <c r="J148" s="44"/>
      <c r="K148" s="44"/>
      <c r="L148" s="44"/>
      <c r="M148" s="44"/>
      <c r="N148" s="44"/>
      <c r="O148" s="44"/>
      <c r="P148" s="45">
        <f t="shared" si="85"/>
        <v>7900</v>
      </c>
      <c r="Q148" s="43">
        <v>140</v>
      </c>
      <c r="R148" s="43">
        <v>94</v>
      </c>
      <c r="S148" s="43">
        <v>1125</v>
      </c>
      <c r="T148" s="43"/>
      <c r="U148" s="43"/>
      <c r="V148" s="43"/>
      <c r="W148" s="43"/>
      <c r="X148" s="43"/>
      <c r="Y148" s="43"/>
      <c r="Z148" s="43"/>
      <c r="AA148" s="43"/>
      <c r="AB148" s="43"/>
      <c r="AC148" s="46">
        <f>SUM(Q148:AB148)</f>
        <v>1359</v>
      </c>
      <c r="AD148" s="43">
        <f>P148-AC148</f>
        <v>6541</v>
      </c>
      <c r="AE148" s="338">
        <f>AC148*100/P148</f>
        <v>17.20253164556962</v>
      </c>
    </row>
    <row r="149" spans="2:31" s="28" customFormat="1" ht="12.75">
      <c r="B149" s="33"/>
      <c r="C149" s="41"/>
      <c r="D149" s="41">
        <v>4300</v>
      </c>
      <c r="E149" s="42" t="s">
        <v>1000</v>
      </c>
      <c r="F149" s="65">
        <v>52000</v>
      </c>
      <c r="G149" s="43">
        <v>52000</v>
      </c>
      <c r="H149" s="44"/>
      <c r="I149" s="44"/>
      <c r="J149" s="44"/>
      <c r="K149" s="44"/>
      <c r="L149" s="44"/>
      <c r="M149" s="44"/>
      <c r="N149" s="44"/>
      <c r="O149" s="44"/>
      <c r="P149" s="45">
        <f t="shared" si="85"/>
        <v>52000</v>
      </c>
      <c r="Q149" s="43">
        <v>5220.61</v>
      </c>
      <c r="R149" s="43">
        <v>5549.81</v>
      </c>
      <c r="S149" s="43">
        <v>6137.27</v>
      </c>
      <c r="T149" s="43">
        <v>7174.21</v>
      </c>
      <c r="U149" s="43">
        <v>5121.54</v>
      </c>
      <c r="V149" s="43">
        <v>5204</v>
      </c>
      <c r="W149" s="43"/>
      <c r="X149" s="43"/>
      <c r="Y149" s="43"/>
      <c r="Z149" s="43"/>
      <c r="AA149" s="43"/>
      <c r="AB149" s="43"/>
      <c r="AC149" s="46">
        <f t="shared" si="86"/>
        <v>34407.44</v>
      </c>
      <c r="AD149" s="43">
        <f t="shared" si="87"/>
        <v>17592.559999999998</v>
      </c>
      <c r="AE149" s="338">
        <f t="shared" si="88"/>
        <v>66.16815384615384</v>
      </c>
    </row>
    <row r="150" spans="2:31" s="28" customFormat="1" ht="12.75">
      <c r="B150" s="33"/>
      <c r="C150" s="41"/>
      <c r="D150" s="41">
        <v>4350</v>
      </c>
      <c r="E150" s="42" t="s">
        <v>642</v>
      </c>
      <c r="F150" s="65">
        <v>5000</v>
      </c>
      <c r="G150" s="43">
        <v>5000</v>
      </c>
      <c r="H150" s="44">
        <v>3000</v>
      </c>
      <c r="I150" s="44">
        <v>3000</v>
      </c>
      <c r="J150" s="44"/>
      <c r="K150" s="44"/>
      <c r="L150" s="44"/>
      <c r="M150" s="44"/>
      <c r="N150" s="44"/>
      <c r="O150" s="44"/>
      <c r="P150" s="45">
        <f t="shared" si="85"/>
        <v>11000</v>
      </c>
      <c r="Q150" s="43">
        <v>3070.93</v>
      </c>
      <c r="R150" s="43">
        <v>107.95</v>
      </c>
      <c r="S150" s="43">
        <v>195</v>
      </c>
      <c r="T150" s="43">
        <v>443.47</v>
      </c>
      <c r="U150" s="43"/>
      <c r="V150" s="43">
        <v>468.48</v>
      </c>
      <c r="W150" s="43"/>
      <c r="X150" s="43"/>
      <c r="Y150" s="43"/>
      <c r="Z150" s="43"/>
      <c r="AA150" s="43"/>
      <c r="AB150" s="43"/>
      <c r="AC150" s="46">
        <f t="shared" si="86"/>
        <v>4285.83</v>
      </c>
      <c r="AD150" s="43">
        <f t="shared" si="87"/>
        <v>6714.17</v>
      </c>
      <c r="AE150" s="338">
        <f t="shared" si="88"/>
        <v>38.96209090909091</v>
      </c>
    </row>
    <row r="151" spans="2:31" s="28" customFormat="1" ht="25.5">
      <c r="B151" s="33"/>
      <c r="C151" s="41"/>
      <c r="D151" s="41">
        <v>4360</v>
      </c>
      <c r="E151" s="42" t="s">
        <v>643</v>
      </c>
      <c r="F151" s="65">
        <v>4700</v>
      </c>
      <c r="G151" s="43">
        <v>4700</v>
      </c>
      <c r="H151" s="44"/>
      <c r="I151" s="44">
        <v>281</v>
      </c>
      <c r="J151" s="44"/>
      <c r="K151" s="44"/>
      <c r="L151" s="44"/>
      <c r="M151" s="44"/>
      <c r="N151" s="44"/>
      <c r="O151" s="44"/>
      <c r="P151" s="45">
        <f t="shared" si="85"/>
        <v>4981</v>
      </c>
      <c r="Q151" s="43">
        <v>227.26</v>
      </c>
      <c r="R151" s="43">
        <v>292.72</v>
      </c>
      <c r="S151" s="43">
        <v>261</v>
      </c>
      <c r="T151" s="43">
        <v>222.46</v>
      </c>
      <c r="U151" s="43">
        <v>362.96</v>
      </c>
      <c r="V151" s="43">
        <v>293.07</v>
      </c>
      <c r="W151" s="43"/>
      <c r="X151" s="43"/>
      <c r="Y151" s="43"/>
      <c r="Z151" s="43"/>
      <c r="AA151" s="43"/>
      <c r="AB151" s="43"/>
      <c r="AC151" s="46">
        <f t="shared" si="86"/>
        <v>1659.47</v>
      </c>
      <c r="AD151" s="43">
        <f>P151-AC151</f>
        <v>3321.5299999999997</v>
      </c>
      <c r="AE151" s="338">
        <f>AC151*100/P151</f>
        <v>33.316000803051594</v>
      </c>
    </row>
    <row r="152" spans="2:31" s="28" customFormat="1" ht="25.5">
      <c r="B152" s="33"/>
      <c r="C152" s="41"/>
      <c r="D152" s="41">
        <v>4370</v>
      </c>
      <c r="E152" s="42" t="s">
        <v>644</v>
      </c>
      <c r="F152" s="65">
        <v>9300</v>
      </c>
      <c r="G152" s="43">
        <v>9300</v>
      </c>
      <c r="H152" s="44"/>
      <c r="I152" s="44">
        <v>1000</v>
      </c>
      <c r="J152" s="44">
        <v>2000</v>
      </c>
      <c r="K152" s="44"/>
      <c r="L152" s="44"/>
      <c r="M152" s="44"/>
      <c r="N152" s="44"/>
      <c r="O152" s="44"/>
      <c r="P152" s="45">
        <f t="shared" si="85"/>
        <v>12300</v>
      </c>
      <c r="Q152" s="43">
        <v>422.28</v>
      </c>
      <c r="R152" s="43">
        <v>927.82</v>
      </c>
      <c r="S152" s="43">
        <v>1049.71</v>
      </c>
      <c r="T152" s="43">
        <v>488.06</v>
      </c>
      <c r="U152" s="43">
        <v>1002.21</v>
      </c>
      <c r="V152" s="43">
        <v>544.4</v>
      </c>
      <c r="W152" s="43"/>
      <c r="X152" s="43"/>
      <c r="Y152" s="43"/>
      <c r="Z152" s="43"/>
      <c r="AA152" s="43"/>
      <c r="AB152" s="43"/>
      <c r="AC152" s="46">
        <f>SUM(Q152:AB152)</f>
        <v>4434.48</v>
      </c>
      <c r="AD152" s="43">
        <f>P152-AC152</f>
        <v>7865.52</v>
      </c>
      <c r="AE152" s="338">
        <f>AC152*100/P152</f>
        <v>36.05268292682926</v>
      </c>
    </row>
    <row r="153" spans="2:31" s="28" customFormat="1" ht="12.75">
      <c r="B153" s="33"/>
      <c r="C153" s="41"/>
      <c r="D153" s="41">
        <v>4410</v>
      </c>
      <c r="E153" s="42" t="s">
        <v>635</v>
      </c>
      <c r="F153" s="65">
        <v>6800</v>
      </c>
      <c r="G153" s="43">
        <v>6800</v>
      </c>
      <c r="H153" s="44"/>
      <c r="I153" s="44">
        <v>1000</v>
      </c>
      <c r="J153" s="44"/>
      <c r="K153" s="44"/>
      <c r="L153" s="44"/>
      <c r="M153" s="44"/>
      <c r="N153" s="44"/>
      <c r="O153" s="44"/>
      <c r="P153" s="45">
        <f t="shared" si="85"/>
        <v>7800</v>
      </c>
      <c r="Q153" s="43">
        <v>66.86</v>
      </c>
      <c r="R153" s="43">
        <v>1001.92</v>
      </c>
      <c r="S153" s="43">
        <v>607.45</v>
      </c>
      <c r="T153" s="43">
        <v>240.65</v>
      </c>
      <c r="U153" s="43">
        <v>344.34</v>
      </c>
      <c r="V153" s="43">
        <v>160.47</v>
      </c>
      <c r="W153" s="43"/>
      <c r="X153" s="43"/>
      <c r="Y153" s="43"/>
      <c r="Z153" s="43"/>
      <c r="AA153" s="43"/>
      <c r="AB153" s="43"/>
      <c r="AC153" s="46">
        <f t="shared" si="86"/>
        <v>2421.69</v>
      </c>
      <c r="AD153" s="43">
        <f t="shared" si="87"/>
        <v>5378.3099999999995</v>
      </c>
      <c r="AE153" s="338">
        <f t="shared" si="88"/>
        <v>31.047307692307694</v>
      </c>
    </row>
    <row r="154" spans="2:31" s="28" customFormat="1" ht="12.75">
      <c r="B154" s="33"/>
      <c r="C154" s="41"/>
      <c r="D154" s="41">
        <v>4430</v>
      </c>
      <c r="E154" s="42" t="s">
        <v>679</v>
      </c>
      <c r="F154" s="65">
        <v>4200</v>
      </c>
      <c r="G154" s="43">
        <v>4200</v>
      </c>
      <c r="H154" s="44"/>
      <c r="I154" s="44">
        <v>200</v>
      </c>
      <c r="J154" s="44"/>
      <c r="K154" s="44"/>
      <c r="L154" s="44"/>
      <c r="M154" s="44"/>
      <c r="N154" s="44"/>
      <c r="O154" s="44"/>
      <c r="P154" s="45">
        <f t="shared" si="85"/>
        <v>4400</v>
      </c>
      <c r="Q154" s="43">
        <v>720.75</v>
      </c>
      <c r="R154" s="43"/>
      <c r="S154" s="43"/>
      <c r="T154" s="43">
        <v>720.75</v>
      </c>
      <c r="U154" s="43"/>
      <c r="V154" s="43"/>
      <c r="W154" s="43"/>
      <c r="X154" s="43"/>
      <c r="Y154" s="43"/>
      <c r="Z154" s="43"/>
      <c r="AA154" s="43"/>
      <c r="AB154" s="43"/>
      <c r="AC154" s="46">
        <f t="shared" si="86"/>
        <v>1441.5</v>
      </c>
      <c r="AD154" s="43">
        <f t="shared" si="87"/>
        <v>2958.5</v>
      </c>
      <c r="AE154" s="338">
        <f t="shared" si="88"/>
        <v>32.76136363636363</v>
      </c>
    </row>
    <row r="155" spans="2:31" s="28" customFormat="1" ht="27.75" customHeight="1">
      <c r="B155" s="33"/>
      <c r="C155" s="41"/>
      <c r="D155" s="41">
        <v>4440</v>
      </c>
      <c r="E155" s="42" t="s">
        <v>645</v>
      </c>
      <c r="F155" s="65">
        <v>98782</v>
      </c>
      <c r="G155" s="43">
        <v>98782</v>
      </c>
      <c r="H155" s="44">
        <v>7195</v>
      </c>
      <c r="I155" s="44"/>
      <c r="J155" s="44"/>
      <c r="K155" s="44"/>
      <c r="L155" s="44"/>
      <c r="M155" s="44"/>
      <c r="N155" s="44"/>
      <c r="O155" s="44"/>
      <c r="P155" s="45">
        <f t="shared" si="85"/>
        <v>105977</v>
      </c>
      <c r="Q155" s="43"/>
      <c r="R155" s="43">
        <v>29181.75</v>
      </c>
      <c r="S155" s="43">
        <v>50301</v>
      </c>
      <c r="T155" s="43"/>
      <c r="U155" s="43">
        <v>4890.5</v>
      </c>
      <c r="V155" s="43"/>
      <c r="W155" s="43"/>
      <c r="X155" s="43"/>
      <c r="Y155" s="43"/>
      <c r="Z155" s="43"/>
      <c r="AA155" s="43"/>
      <c r="AB155" s="43"/>
      <c r="AC155" s="46">
        <f t="shared" si="86"/>
        <v>84373.25</v>
      </c>
      <c r="AD155" s="43">
        <f t="shared" si="87"/>
        <v>21603.75</v>
      </c>
      <c r="AE155" s="338">
        <f t="shared" si="88"/>
        <v>79.6146805438916</v>
      </c>
    </row>
    <row r="156" spans="2:31" s="28" customFormat="1" ht="27.75" customHeight="1">
      <c r="B156" s="33"/>
      <c r="C156" s="41"/>
      <c r="D156" s="41">
        <v>4740</v>
      </c>
      <c r="E156" s="42" t="s">
        <v>616</v>
      </c>
      <c r="F156" s="65">
        <v>3000</v>
      </c>
      <c r="G156" s="43">
        <v>3000</v>
      </c>
      <c r="H156" s="44"/>
      <c r="I156" s="44">
        <v>959</v>
      </c>
      <c r="J156" s="44"/>
      <c r="K156" s="44"/>
      <c r="L156" s="44"/>
      <c r="M156" s="44"/>
      <c r="N156" s="44"/>
      <c r="O156" s="44"/>
      <c r="P156" s="45">
        <f t="shared" si="85"/>
        <v>3959</v>
      </c>
      <c r="Q156" s="43">
        <v>249.32</v>
      </c>
      <c r="R156" s="43">
        <v>27.19</v>
      </c>
      <c r="S156" s="43">
        <v>467.08</v>
      </c>
      <c r="T156" s="43"/>
      <c r="U156" s="43">
        <v>499.73</v>
      </c>
      <c r="V156" s="43"/>
      <c r="W156" s="43"/>
      <c r="X156" s="43"/>
      <c r="Y156" s="43"/>
      <c r="Z156" s="43"/>
      <c r="AA156" s="43"/>
      <c r="AB156" s="43"/>
      <c r="AC156" s="46">
        <f>SUM(Q156:AB156)</f>
        <v>1243.32</v>
      </c>
      <c r="AD156" s="43">
        <f>P156-AC156</f>
        <v>2715.6800000000003</v>
      </c>
      <c r="AE156" s="338">
        <f>AC156*100/P156</f>
        <v>31.404900227330135</v>
      </c>
    </row>
    <row r="157" spans="2:31" s="28" customFormat="1" ht="26.25" customHeight="1">
      <c r="B157" s="33"/>
      <c r="C157" s="41"/>
      <c r="D157" s="41">
        <v>4750</v>
      </c>
      <c r="E157" s="42" t="s">
        <v>617</v>
      </c>
      <c r="F157" s="65">
        <v>11400</v>
      </c>
      <c r="G157" s="43">
        <v>11400</v>
      </c>
      <c r="H157" s="44"/>
      <c r="I157" s="44"/>
      <c r="J157" s="44">
        <v>5000</v>
      </c>
      <c r="K157" s="44"/>
      <c r="L157" s="44"/>
      <c r="M157" s="44"/>
      <c r="N157" s="44"/>
      <c r="O157" s="44"/>
      <c r="P157" s="45">
        <f t="shared" si="85"/>
        <v>16400</v>
      </c>
      <c r="Q157" s="43">
        <v>303.78</v>
      </c>
      <c r="R157" s="43">
        <v>461.23</v>
      </c>
      <c r="S157" s="43">
        <v>1918.28</v>
      </c>
      <c r="T157" s="43">
        <v>1550.03</v>
      </c>
      <c r="U157" s="43">
        <v>335.5</v>
      </c>
      <c r="V157" s="43">
        <v>1180.4</v>
      </c>
      <c r="W157" s="43"/>
      <c r="X157" s="43"/>
      <c r="Y157" s="43"/>
      <c r="Z157" s="43"/>
      <c r="AA157" s="43"/>
      <c r="AB157" s="43"/>
      <c r="AC157" s="46">
        <f>SUM(Q157:AB157)</f>
        <v>5749.219999999999</v>
      </c>
      <c r="AD157" s="43">
        <f>P157-AC157</f>
        <v>10650.78</v>
      </c>
      <c r="AE157" s="338">
        <f>AC157*100/P157</f>
        <v>35.05621951219511</v>
      </c>
    </row>
    <row r="158" spans="2:31" s="28" customFormat="1" ht="25.5">
      <c r="B158" s="33"/>
      <c r="C158" s="41"/>
      <c r="D158" s="41">
        <v>6050</v>
      </c>
      <c r="E158" s="42" t="s">
        <v>1001</v>
      </c>
      <c r="F158" s="65">
        <v>530000</v>
      </c>
      <c r="G158" s="43"/>
      <c r="H158" s="44"/>
      <c r="I158" s="44"/>
      <c r="J158" s="44">
        <v>3000</v>
      </c>
      <c r="K158" s="44"/>
      <c r="L158" s="44"/>
      <c r="M158" s="44"/>
      <c r="N158" s="44"/>
      <c r="O158" s="44"/>
      <c r="P158" s="45">
        <f t="shared" si="85"/>
        <v>3000</v>
      </c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6">
        <f>SUM(Q158:AB158)</f>
        <v>0</v>
      </c>
      <c r="AD158" s="43">
        <f>P158-AC158</f>
        <v>3000</v>
      </c>
      <c r="AE158" s="338">
        <f>AC158*100/P158</f>
        <v>0</v>
      </c>
    </row>
    <row r="159" spans="2:31" s="28" customFormat="1" ht="25.5">
      <c r="B159" s="33"/>
      <c r="C159" s="41"/>
      <c r="D159" s="41">
        <v>6060</v>
      </c>
      <c r="E159" s="42" t="s">
        <v>573</v>
      </c>
      <c r="F159" s="65">
        <v>18500</v>
      </c>
      <c r="G159" s="43">
        <v>18500</v>
      </c>
      <c r="H159" s="44"/>
      <c r="I159" s="44"/>
      <c r="J159" s="44">
        <v>6000</v>
      </c>
      <c r="K159" s="44"/>
      <c r="L159" s="44"/>
      <c r="M159" s="44"/>
      <c r="N159" s="44"/>
      <c r="O159" s="44"/>
      <c r="P159" s="45">
        <f t="shared" si="85"/>
        <v>24500</v>
      </c>
      <c r="Q159" s="43"/>
      <c r="R159" s="43">
        <v>4997</v>
      </c>
      <c r="S159" s="43"/>
      <c r="T159" s="43">
        <v>4920</v>
      </c>
      <c r="U159" s="43"/>
      <c r="V159" s="43"/>
      <c r="W159" s="43"/>
      <c r="X159" s="43"/>
      <c r="Y159" s="43"/>
      <c r="Z159" s="43"/>
      <c r="AA159" s="43"/>
      <c r="AB159" s="43"/>
      <c r="AC159" s="46">
        <f>SUM(Q159:AB159)</f>
        <v>9917</v>
      </c>
      <c r="AD159" s="43">
        <f>P159-AC159</f>
        <v>14583</v>
      </c>
      <c r="AE159" s="338">
        <f>AC159*100/P159</f>
        <v>40.477551020408164</v>
      </c>
    </row>
    <row r="160" spans="2:31" s="28" customFormat="1" ht="25.5">
      <c r="B160" s="33"/>
      <c r="C160" s="35">
        <v>80103</v>
      </c>
      <c r="D160" s="35"/>
      <c r="E160" s="36" t="s">
        <v>680</v>
      </c>
      <c r="F160" s="63">
        <f>SUM(F161:F178)</f>
        <v>362296</v>
      </c>
      <c r="G160" s="37">
        <f>SUM(G161:G178)</f>
        <v>326696</v>
      </c>
      <c r="H160" s="38">
        <f>SUM(H161:H178)</f>
        <v>17800</v>
      </c>
      <c r="I160" s="38">
        <f aca="true" t="shared" si="89" ref="I160:O160">SUM(I161:I178)</f>
        <v>0</v>
      </c>
      <c r="J160" s="38">
        <f t="shared" si="89"/>
        <v>0</v>
      </c>
      <c r="K160" s="38">
        <f t="shared" si="89"/>
        <v>0</v>
      </c>
      <c r="L160" s="38">
        <f t="shared" si="89"/>
        <v>0</v>
      </c>
      <c r="M160" s="38">
        <f t="shared" si="89"/>
        <v>0</v>
      </c>
      <c r="N160" s="38">
        <f t="shared" si="89"/>
        <v>0</v>
      </c>
      <c r="O160" s="38">
        <f t="shared" si="89"/>
        <v>0</v>
      </c>
      <c r="P160" s="39">
        <f>SUM(P161:P177)</f>
        <v>344496</v>
      </c>
      <c r="Q160" s="37">
        <f>SUM(Q161:Q178)</f>
        <v>23408.140000000003</v>
      </c>
      <c r="R160" s="37">
        <f aca="true" t="shared" si="90" ref="R160:AB160">SUM(R161:R178)</f>
        <v>30038.43</v>
      </c>
      <c r="S160" s="37">
        <f t="shared" si="90"/>
        <v>36823.47</v>
      </c>
      <c r="T160" s="37">
        <f t="shared" si="90"/>
        <v>34842.52</v>
      </c>
      <c r="U160" s="37">
        <f t="shared" si="90"/>
        <v>31383.72</v>
      </c>
      <c r="V160" s="37">
        <f t="shared" si="90"/>
        <v>26774.34</v>
      </c>
      <c r="W160" s="37">
        <f t="shared" si="90"/>
        <v>0</v>
      </c>
      <c r="X160" s="37">
        <f t="shared" si="90"/>
        <v>0</v>
      </c>
      <c r="Y160" s="37">
        <f t="shared" si="90"/>
        <v>0</v>
      </c>
      <c r="Z160" s="37">
        <f t="shared" si="90"/>
        <v>0</v>
      </c>
      <c r="AA160" s="37">
        <f t="shared" si="90"/>
        <v>0</v>
      </c>
      <c r="AB160" s="37">
        <f t="shared" si="90"/>
        <v>0</v>
      </c>
      <c r="AC160" s="37">
        <f>SUM(AC161:AC177)</f>
        <v>183270.62</v>
      </c>
      <c r="AD160" s="37">
        <f>SUM(AD161:AD177)</f>
        <v>161225.37999999998</v>
      </c>
      <c r="AE160" s="337">
        <f t="shared" si="88"/>
        <v>53.199636570526216</v>
      </c>
    </row>
    <row r="161" spans="2:31" s="28" customFormat="1" ht="25.5">
      <c r="B161" s="33"/>
      <c r="C161" s="41"/>
      <c r="D161" s="41">
        <v>3020</v>
      </c>
      <c r="E161" s="42" t="s">
        <v>637</v>
      </c>
      <c r="F161" s="65">
        <v>12240</v>
      </c>
      <c r="G161" s="43">
        <v>10690</v>
      </c>
      <c r="H161" s="44">
        <v>2700</v>
      </c>
      <c r="I161" s="44"/>
      <c r="J161" s="44"/>
      <c r="K161" s="44"/>
      <c r="L161" s="44"/>
      <c r="M161" s="44"/>
      <c r="N161" s="44"/>
      <c r="O161" s="44"/>
      <c r="P161" s="45">
        <f aca="true" t="shared" si="91" ref="P161:P177">G161+H161+I161+J161+K161+L161+M161+N161+O161</f>
        <v>13390</v>
      </c>
      <c r="Q161" s="43">
        <v>706.65</v>
      </c>
      <c r="R161" s="43">
        <v>672.37</v>
      </c>
      <c r="S161" s="43">
        <v>121.34</v>
      </c>
      <c r="T161" s="43">
        <v>210.43</v>
      </c>
      <c r="U161" s="43">
        <v>234.29</v>
      </c>
      <c r="V161" s="43">
        <v>234.26</v>
      </c>
      <c r="W161" s="43"/>
      <c r="X161" s="43"/>
      <c r="Y161" s="43"/>
      <c r="Z161" s="43"/>
      <c r="AA161" s="43"/>
      <c r="AB161" s="43"/>
      <c r="AC161" s="46">
        <f aca="true" t="shared" si="92" ref="AC161:AC175">SUM(Q161:AB161)</f>
        <v>2179.34</v>
      </c>
      <c r="AD161" s="43">
        <f aca="true" t="shared" si="93" ref="AD161:AD175">P161-AC161</f>
        <v>11210.66</v>
      </c>
      <c r="AE161" s="338">
        <f t="shared" si="88"/>
        <v>16.275877520537716</v>
      </c>
    </row>
    <row r="162" spans="2:31" s="28" customFormat="1" ht="12.75">
      <c r="B162" s="33"/>
      <c r="C162" s="41"/>
      <c r="D162" s="41">
        <v>4010</v>
      </c>
      <c r="E162" s="42" t="s">
        <v>631</v>
      </c>
      <c r="F162" s="65">
        <v>193600</v>
      </c>
      <c r="G162" s="43">
        <v>189400</v>
      </c>
      <c r="H162" s="44">
        <v>11158</v>
      </c>
      <c r="I162" s="44">
        <v>1520</v>
      </c>
      <c r="J162" s="44"/>
      <c r="K162" s="44"/>
      <c r="L162" s="44"/>
      <c r="M162" s="44"/>
      <c r="N162" s="44"/>
      <c r="O162" s="44"/>
      <c r="P162" s="45">
        <f t="shared" si="91"/>
        <v>202078</v>
      </c>
      <c r="Q162" s="43">
        <v>18401.55</v>
      </c>
      <c r="R162" s="43">
        <v>14087.33</v>
      </c>
      <c r="S162" s="43">
        <v>23965.39</v>
      </c>
      <c r="T162" s="43">
        <v>22850.81</v>
      </c>
      <c r="U162" s="43">
        <v>21973.98</v>
      </c>
      <c r="V162" s="43">
        <v>21173.75</v>
      </c>
      <c r="W162" s="43"/>
      <c r="X162" s="43"/>
      <c r="Y162" s="43"/>
      <c r="Z162" s="43"/>
      <c r="AA162" s="43"/>
      <c r="AB162" s="43"/>
      <c r="AC162" s="46">
        <f t="shared" si="92"/>
        <v>122452.81</v>
      </c>
      <c r="AD162" s="43">
        <f t="shared" si="93"/>
        <v>79625.19</v>
      </c>
      <c r="AE162" s="338">
        <f t="shared" si="88"/>
        <v>60.596804204317145</v>
      </c>
    </row>
    <row r="163" spans="2:31" s="28" customFormat="1" ht="12.75">
      <c r="B163" s="33"/>
      <c r="C163" s="41"/>
      <c r="D163" s="41">
        <v>4040</v>
      </c>
      <c r="E163" s="42" t="s">
        <v>638</v>
      </c>
      <c r="F163" s="65">
        <v>13100</v>
      </c>
      <c r="G163" s="43">
        <v>13100</v>
      </c>
      <c r="H163" s="44"/>
      <c r="I163" s="65">
        <v>-1520</v>
      </c>
      <c r="J163" s="44"/>
      <c r="K163" s="44"/>
      <c r="L163" s="44"/>
      <c r="M163" s="44"/>
      <c r="N163" s="44"/>
      <c r="O163" s="44"/>
      <c r="P163" s="45">
        <f t="shared" si="91"/>
        <v>11580</v>
      </c>
      <c r="Q163" s="43"/>
      <c r="R163" s="43"/>
      <c r="S163" s="43">
        <v>7967.22</v>
      </c>
      <c r="T163" s="43">
        <v>3610.45</v>
      </c>
      <c r="U163" s="43"/>
      <c r="V163" s="43"/>
      <c r="W163" s="43"/>
      <c r="X163" s="43"/>
      <c r="Y163" s="43"/>
      <c r="Z163" s="43"/>
      <c r="AA163" s="43"/>
      <c r="AB163" s="43"/>
      <c r="AC163" s="46">
        <f t="shared" si="92"/>
        <v>11577.67</v>
      </c>
      <c r="AD163" s="43">
        <f t="shared" si="93"/>
        <v>2.3299999999999272</v>
      </c>
      <c r="AE163" s="338">
        <f t="shared" si="88"/>
        <v>99.97987910189983</v>
      </c>
    </row>
    <row r="164" spans="2:31" s="28" customFormat="1" ht="12.75">
      <c r="B164" s="33"/>
      <c r="C164" s="41"/>
      <c r="D164" s="41">
        <v>4110</v>
      </c>
      <c r="E164" s="42" t="s">
        <v>632</v>
      </c>
      <c r="F164" s="65">
        <v>37360</v>
      </c>
      <c r="G164" s="43">
        <v>32520</v>
      </c>
      <c r="H164" s="44">
        <v>2700</v>
      </c>
      <c r="I164" s="44"/>
      <c r="J164" s="44"/>
      <c r="K164" s="44"/>
      <c r="L164" s="44"/>
      <c r="M164" s="44"/>
      <c r="N164" s="44"/>
      <c r="O164" s="44"/>
      <c r="P164" s="45">
        <f t="shared" si="91"/>
        <v>35220</v>
      </c>
      <c r="Q164" s="43">
        <v>3145.88</v>
      </c>
      <c r="R164" s="43">
        <v>2709.64</v>
      </c>
      <c r="S164" s="43">
        <v>2959.03</v>
      </c>
      <c r="T164" s="43">
        <v>5280.61</v>
      </c>
      <c r="U164" s="43">
        <v>4261.09</v>
      </c>
      <c r="V164" s="43">
        <v>3166.09</v>
      </c>
      <c r="W164" s="43"/>
      <c r="X164" s="43"/>
      <c r="Y164" s="43"/>
      <c r="Z164" s="43"/>
      <c r="AA164" s="43"/>
      <c r="AB164" s="43"/>
      <c r="AC164" s="46">
        <f t="shared" si="92"/>
        <v>21522.34</v>
      </c>
      <c r="AD164" s="43">
        <f t="shared" si="93"/>
        <v>13697.66</v>
      </c>
      <c r="AE164" s="338">
        <f t="shared" si="88"/>
        <v>61.108290743895516</v>
      </c>
    </row>
    <row r="165" spans="2:31" s="28" customFormat="1" ht="12.75">
      <c r="B165" s="33"/>
      <c r="C165" s="41"/>
      <c r="D165" s="41">
        <v>4120</v>
      </c>
      <c r="E165" s="42" t="s">
        <v>639</v>
      </c>
      <c r="F165" s="65">
        <v>5230</v>
      </c>
      <c r="G165" s="43">
        <v>5220</v>
      </c>
      <c r="H165" s="44">
        <v>400</v>
      </c>
      <c r="I165" s="44"/>
      <c r="J165" s="44"/>
      <c r="K165" s="44"/>
      <c r="L165" s="44"/>
      <c r="M165" s="44"/>
      <c r="N165" s="44"/>
      <c r="O165" s="44"/>
      <c r="P165" s="45">
        <f t="shared" si="91"/>
        <v>5620</v>
      </c>
      <c r="Q165" s="43">
        <v>403.91</v>
      </c>
      <c r="R165" s="43">
        <v>467.4</v>
      </c>
      <c r="S165" s="43">
        <v>472.57</v>
      </c>
      <c r="T165" s="43">
        <v>843.39</v>
      </c>
      <c r="U165" s="43">
        <v>602.67</v>
      </c>
      <c r="V165" s="43">
        <v>508</v>
      </c>
      <c r="W165" s="43"/>
      <c r="X165" s="43"/>
      <c r="Y165" s="43"/>
      <c r="Z165" s="43"/>
      <c r="AA165" s="43"/>
      <c r="AB165" s="43"/>
      <c r="AC165" s="46">
        <f t="shared" si="92"/>
        <v>3297.94</v>
      </c>
      <c r="AD165" s="43">
        <f t="shared" si="93"/>
        <v>2322.06</v>
      </c>
      <c r="AE165" s="338">
        <f t="shared" si="88"/>
        <v>58.68220640569395</v>
      </c>
    </row>
    <row r="166" spans="2:31" s="28" customFormat="1" ht="12.75">
      <c r="B166" s="33"/>
      <c r="C166" s="41"/>
      <c r="D166" s="41">
        <v>4210</v>
      </c>
      <c r="E166" s="42" t="s">
        <v>998</v>
      </c>
      <c r="F166" s="65">
        <v>12000</v>
      </c>
      <c r="G166" s="43">
        <v>12000</v>
      </c>
      <c r="H166" s="44"/>
      <c r="I166" s="44"/>
      <c r="J166" s="44"/>
      <c r="K166" s="44"/>
      <c r="L166" s="44"/>
      <c r="M166" s="44"/>
      <c r="N166" s="44"/>
      <c r="O166" s="44"/>
      <c r="P166" s="45">
        <f t="shared" si="91"/>
        <v>12000</v>
      </c>
      <c r="Q166" s="43">
        <v>231.66</v>
      </c>
      <c r="R166" s="43"/>
      <c r="S166" s="43">
        <v>500.31</v>
      </c>
      <c r="T166" s="43">
        <v>39.1</v>
      </c>
      <c r="U166" s="43"/>
      <c r="V166" s="43">
        <v>74.04</v>
      </c>
      <c r="W166" s="43"/>
      <c r="X166" s="43"/>
      <c r="Y166" s="43"/>
      <c r="Z166" s="43"/>
      <c r="AA166" s="43"/>
      <c r="AB166" s="43"/>
      <c r="AC166" s="46">
        <f t="shared" si="92"/>
        <v>845.11</v>
      </c>
      <c r="AD166" s="43">
        <f t="shared" si="93"/>
        <v>11154.89</v>
      </c>
      <c r="AE166" s="338">
        <f t="shared" si="88"/>
        <v>7.042583333333333</v>
      </c>
    </row>
    <row r="167" spans="2:31" s="28" customFormat="1" ht="12.75">
      <c r="B167" s="33"/>
      <c r="C167" s="41"/>
      <c r="D167" s="41">
        <v>4240</v>
      </c>
      <c r="E167" s="42" t="s">
        <v>678</v>
      </c>
      <c r="F167" s="65">
        <v>3500</v>
      </c>
      <c r="G167" s="43">
        <v>6000</v>
      </c>
      <c r="H167" s="44"/>
      <c r="I167" s="44"/>
      <c r="J167" s="44"/>
      <c r="K167" s="44"/>
      <c r="L167" s="44"/>
      <c r="M167" s="44"/>
      <c r="N167" s="44"/>
      <c r="O167" s="44"/>
      <c r="P167" s="45">
        <f t="shared" si="91"/>
        <v>6000</v>
      </c>
      <c r="Q167" s="43">
        <v>199</v>
      </c>
      <c r="R167" s="43">
        <v>43.99</v>
      </c>
      <c r="S167" s="43"/>
      <c r="T167" s="43">
        <v>397.67</v>
      </c>
      <c r="U167" s="43"/>
      <c r="V167" s="43"/>
      <c r="W167" s="43"/>
      <c r="X167" s="43"/>
      <c r="Y167" s="43"/>
      <c r="Z167" s="43"/>
      <c r="AA167" s="43"/>
      <c r="AB167" s="43"/>
      <c r="AC167" s="46">
        <f t="shared" si="92"/>
        <v>640.6600000000001</v>
      </c>
      <c r="AD167" s="43">
        <f t="shared" si="93"/>
        <v>5359.34</v>
      </c>
      <c r="AE167" s="338">
        <f t="shared" si="88"/>
        <v>10.677666666666667</v>
      </c>
    </row>
    <row r="168" spans="2:31" s="28" customFormat="1" ht="12.75">
      <c r="B168" s="33"/>
      <c r="C168" s="41"/>
      <c r="D168" s="41">
        <v>4260</v>
      </c>
      <c r="E168" s="42" t="s">
        <v>634</v>
      </c>
      <c r="F168" s="65">
        <v>9000</v>
      </c>
      <c r="G168" s="43">
        <v>9000</v>
      </c>
      <c r="H168" s="44"/>
      <c r="I168" s="44"/>
      <c r="J168" s="44"/>
      <c r="K168" s="44"/>
      <c r="L168" s="44"/>
      <c r="M168" s="44"/>
      <c r="N168" s="44"/>
      <c r="O168" s="44"/>
      <c r="P168" s="45">
        <f t="shared" si="91"/>
        <v>9000</v>
      </c>
      <c r="Q168" s="43"/>
      <c r="R168" s="43">
        <v>151.26</v>
      </c>
      <c r="S168" s="43">
        <v>113.61</v>
      </c>
      <c r="T168" s="43">
        <v>1029.28</v>
      </c>
      <c r="U168" s="43"/>
      <c r="V168" s="43">
        <v>1141.87</v>
      </c>
      <c r="W168" s="43"/>
      <c r="X168" s="43"/>
      <c r="Y168" s="43"/>
      <c r="Z168" s="43"/>
      <c r="AA168" s="43"/>
      <c r="AB168" s="43"/>
      <c r="AC168" s="46">
        <f t="shared" si="92"/>
        <v>2436.02</v>
      </c>
      <c r="AD168" s="43">
        <f t="shared" si="93"/>
        <v>6563.98</v>
      </c>
      <c r="AE168" s="338">
        <f t="shared" si="88"/>
        <v>27.06688888888889</v>
      </c>
    </row>
    <row r="169" spans="2:31" s="28" customFormat="1" ht="12.75">
      <c r="B169" s="33"/>
      <c r="C169" s="41"/>
      <c r="D169" s="41">
        <v>4270</v>
      </c>
      <c r="E169" s="42" t="s">
        <v>999</v>
      </c>
      <c r="F169" s="65">
        <v>21000</v>
      </c>
      <c r="G169" s="43">
        <v>21000</v>
      </c>
      <c r="H169" s="44"/>
      <c r="I169" s="44"/>
      <c r="J169" s="44"/>
      <c r="K169" s="44"/>
      <c r="L169" s="44"/>
      <c r="M169" s="44"/>
      <c r="N169" s="44"/>
      <c r="O169" s="44"/>
      <c r="P169" s="45">
        <f t="shared" si="91"/>
        <v>21000</v>
      </c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6">
        <f t="shared" si="92"/>
        <v>0</v>
      </c>
      <c r="AD169" s="43">
        <f t="shared" si="93"/>
        <v>21000</v>
      </c>
      <c r="AE169" s="338">
        <f t="shared" si="88"/>
        <v>0</v>
      </c>
    </row>
    <row r="170" spans="2:31" s="28" customFormat="1" ht="12.75">
      <c r="B170" s="33"/>
      <c r="C170" s="41"/>
      <c r="D170" s="41">
        <v>4280</v>
      </c>
      <c r="E170" s="42" t="s">
        <v>641</v>
      </c>
      <c r="F170" s="65">
        <v>800</v>
      </c>
      <c r="G170" s="43">
        <v>800</v>
      </c>
      <c r="H170" s="44"/>
      <c r="I170" s="44"/>
      <c r="J170" s="44"/>
      <c r="K170" s="44"/>
      <c r="L170" s="44"/>
      <c r="M170" s="44"/>
      <c r="N170" s="44"/>
      <c r="O170" s="44"/>
      <c r="P170" s="45">
        <f t="shared" si="91"/>
        <v>800</v>
      </c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6">
        <f>SUM(Q170:AB170)</f>
        <v>0</v>
      </c>
      <c r="AD170" s="43">
        <f>P170-AC170</f>
        <v>800</v>
      </c>
      <c r="AE170" s="338">
        <f>AC170*100/P170</f>
        <v>0</v>
      </c>
    </row>
    <row r="171" spans="2:31" s="28" customFormat="1" ht="12.75">
      <c r="B171" s="33"/>
      <c r="C171" s="41"/>
      <c r="D171" s="41">
        <v>4300</v>
      </c>
      <c r="E171" s="42" t="s">
        <v>1000</v>
      </c>
      <c r="F171" s="65">
        <v>4000</v>
      </c>
      <c r="G171" s="43">
        <v>4000</v>
      </c>
      <c r="H171" s="44"/>
      <c r="I171" s="44"/>
      <c r="J171" s="44"/>
      <c r="K171" s="44"/>
      <c r="L171" s="44"/>
      <c r="M171" s="44"/>
      <c r="N171" s="44"/>
      <c r="O171" s="44"/>
      <c r="P171" s="45">
        <f t="shared" si="91"/>
        <v>4000</v>
      </c>
      <c r="Q171" s="43">
        <v>163.12</v>
      </c>
      <c r="R171" s="43">
        <v>82.87</v>
      </c>
      <c r="S171" s="43">
        <v>92.5</v>
      </c>
      <c r="T171" s="43">
        <v>426.92</v>
      </c>
      <c r="U171" s="43"/>
      <c r="V171" s="43">
        <v>195.63</v>
      </c>
      <c r="W171" s="43"/>
      <c r="X171" s="43"/>
      <c r="Y171" s="43"/>
      <c r="Z171" s="43"/>
      <c r="AA171" s="43"/>
      <c r="AB171" s="43"/>
      <c r="AC171" s="46">
        <f t="shared" si="92"/>
        <v>961.0400000000001</v>
      </c>
      <c r="AD171" s="43">
        <f t="shared" si="93"/>
        <v>3038.96</v>
      </c>
      <c r="AE171" s="338">
        <f t="shared" si="88"/>
        <v>24.026000000000003</v>
      </c>
    </row>
    <row r="172" spans="2:31" s="28" customFormat="1" ht="12.75">
      <c r="B172" s="33"/>
      <c r="C172" s="41"/>
      <c r="D172" s="41">
        <v>4350</v>
      </c>
      <c r="E172" s="42" t="s">
        <v>642</v>
      </c>
      <c r="F172" s="65">
        <v>2000</v>
      </c>
      <c r="G172" s="43">
        <v>2000</v>
      </c>
      <c r="H172" s="44"/>
      <c r="I172" s="44"/>
      <c r="J172" s="44"/>
      <c r="K172" s="44"/>
      <c r="L172" s="44"/>
      <c r="M172" s="44"/>
      <c r="N172" s="44"/>
      <c r="O172" s="44"/>
      <c r="P172" s="45">
        <f t="shared" si="91"/>
        <v>2000</v>
      </c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6">
        <f t="shared" si="92"/>
        <v>0</v>
      </c>
      <c r="AD172" s="43">
        <f t="shared" si="93"/>
        <v>2000</v>
      </c>
      <c r="AE172" s="338">
        <f t="shared" si="88"/>
        <v>0</v>
      </c>
    </row>
    <row r="173" spans="2:31" s="28" customFormat="1" ht="25.5">
      <c r="B173" s="33"/>
      <c r="C173" s="41"/>
      <c r="D173" s="41">
        <v>4370</v>
      </c>
      <c r="E173" s="42" t="s">
        <v>644</v>
      </c>
      <c r="F173" s="65">
        <v>1200</v>
      </c>
      <c r="G173" s="43">
        <v>1200</v>
      </c>
      <c r="H173" s="44"/>
      <c r="I173" s="44"/>
      <c r="J173" s="44"/>
      <c r="K173" s="44"/>
      <c r="L173" s="44"/>
      <c r="M173" s="44"/>
      <c r="N173" s="44"/>
      <c r="O173" s="44"/>
      <c r="P173" s="45">
        <f t="shared" si="91"/>
        <v>1200</v>
      </c>
      <c r="Q173" s="43">
        <v>83.38</v>
      </c>
      <c r="R173" s="43">
        <v>114.87</v>
      </c>
      <c r="S173" s="43"/>
      <c r="T173" s="43">
        <v>109.93</v>
      </c>
      <c r="U173" s="43">
        <v>142.83</v>
      </c>
      <c r="V173" s="43">
        <v>96.83</v>
      </c>
      <c r="W173" s="43"/>
      <c r="X173" s="43"/>
      <c r="Y173" s="43"/>
      <c r="Z173" s="43"/>
      <c r="AA173" s="43"/>
      <c r="AB173" s="43"/>
      <c r="AC173" s="46">
        <f t="shared" si="92"/>
        <v>547.84</v>
      </c>
      <c r="AD173" s="43">
        <f t="shared" si="93"/>
        <v>652.16</v>
      </c>
      <c r="AE173" s="338">
        <f t="shared" si="88"/>
        <v>45.653333333333336</v>
      </c>
    </row>
    <row r="174" spans="2:31" s="28" customFormat="1" ht="12.75">
      <c r="B174" s="33"/>
      <c r="C174" s="41"/>
      <c r="D174" s="41">
        <v>4410</v>
      </c>
      <c r="E174" s="42" t="s">
        <v>635</v>
      </c>
      <c r="F174" s="65">
        <v>2000</v>
      </c>
      <c r="G174" s="43">
        <v>2000</v>
      </c>
      <c r="H174" s="44"/>
      <c r="I174" s="44"/>
      <c r="J174" s="44"/>
      <c r="K174" s="44"/>
      <c r="L174" s="44"/>
      <c r="M174" s="44"/>
      <c r="N174" s="44"/>
      <c r="O174" s="44"/>
      <c r="P174" s="45">
        <f t="shared" si="91"/>
        <v>2000</v>
      </c>
      <c r="Q174" s="43">
        <v>72.99</v>
      </c>
      <c r="R174" s="43"/>
      <c r="S174" s="43"/>
      <c r="T174" s="43">
        <v>43.93</v>
      </c>
      <c r="U174" s="43">
        <v>66.86</v>
      </c>
      <c r="V174" s="43">
        <v>183.87</v>
      </c>
      <c r="W174" s="43"/>
      <c r="X174" s="43"/>
      <c r="Y174" s="43"/>
      <c r="Z174" s="43"/>
      <c r="AA174" s="43"/>
      <c r="AB174" s="43"/>
      <c r="AC174" s="46">
        <f t="shared" si="92"/>
        <v>367.65</v>
      </c>
      <c r="AD174" s="43">
        <f t="shared" si="93"/>
        <v>1632.35</v>
      </c>
      <c r="AE174" s="338">
        <f t="shared" si="88"/>
        <v>18.3825</v>
      </c>
    </row>
    <row r="175" spans="2:31" s="28" customFormat="1" ht="25.5">
      <c r="B175" s="33"/>
      <c r="C175" s="41"/>
      <c r="D175" s="41">
        <v>4440</v>
      </c>
      <c r="E175" s="42" t="s">
        <v>645</v>
      </c>
      <c r="F175" s="65">
        <v>15566</v>
      </c>
      <c r="G175" s="43">
        <v>15566</v>
      </c>
      <c r="H175" s="44">
        <v>842</v>
      </c>
      <c r="I175" s="44"/>
      <c r="J175" s="44"/>
      <c r="K175" s="44"/>
      <c r="L175" s="44"/>
      <c r="M175" s="44"/>
      <c r="N175" s="44"/>
      <c r="O175" s="44"/>
      <c r="P175" s="45">
        <f t="shared" si="91"/>
        <v>16408</v>
      </c>
      <c r="Q175" s="43"/>
      <c r="R175" s="43">
        <v>11674.5</v>
      </c>
      <c r="S175" s="43">
        <v>631.5</v>
      </c>
      <c r="T175" s="43"/>
      <c r="U175" s="43">
        <v>4102</v>
      </c>
      <c r="V175" s="43"/>
      <c r="W175" s="43"/>
      <c r="X175" s="43"/>
      <c r="Y175" s="43"/>
      <c r="Z175" s="43"/>
      <c r="AA175" s="43"/>
      <c r="AB175" s="43"/>
      <c r="AC175" s="46">
        <f t="shared" si="92"/>
        <v>16408</v>
      </c>
      <c r="AD175" s="43">
        <f t="shared" si="93"/>
        <v>0</v>
      </c>
      <c r="AE175" s="338">
        <f t="shared" si="88"/>
        <v>100</v>
      </c>
    </row>
    <row r="176" spans="2:31" s="28" customFormat="1" ht="25.5">
      <c r="B176" s="33"/>
      <c r="C176" s="41"/>
      <c r="D176" s="41">
        <v>4740</v>
      </c>
      <c r="E176" s="42" t="s">
        <v>616</v>
      </c>
      <c r="F176" s="65">
        <v>700</v>
      </c>
      <c r="G176" s="43">
        <v>700</v>
      </c>
      <c r="H176" s="44"/>
      <c r="I176" s="44"/>
      <c r="J176" s="44"/>
      <c r="K176" s="44"/>
      <c r="L176" s="44"/>
      <c r="M176" s="44"/>
      <c r="N176" s="44"/>
      <c r="O176" s="44"/>
      <c r="P176" s="45">
        <f t="shared" si="91"/>
        <v>700</v>
      </c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6">
        <f>SUM(Q176:AB176)</f>
        <v>0</v>
      </c>
      <c r="AD176" s="43">
        <f>P176-AC176</f>
        <v>700</v>
      </c>
      <c r="AE176" s="338">
        <f>AC176*100/P176</f>
        <v>0</v>
      </c>
    </row>
    <row r="177" spans="2:31" s="28" customFormat="1" ht="25.5">
      <c r="B177" s="33"/>
      <c r="C177" s="41"/>
      <c r="D177" s="41">
        <v>4750</v>
      </c>
      <c r="E177" s="42" t="s">
        <v>617</v>
      </c>
      <c r="F177" s="65">
        <v>1500</v>
      </c>
      <c r="G177" s="43">
        <v>1500</v>
      </c>
      <c r="H177" s="44"/>
      <c r="I177" s="44"/>
      <c r="J177" s="44"/>
      <c r="K177" s="44"/>
      <c r="L177" s="44"/>
      <c r="M177" s="44"/>
      <c r="N177" s="44"/>
      <c r="O177" s="44"/>
      <c r="P177" s="45">
        <f t="shared" si="91"/>
        <v>1500</v>
      </c>
      <c r="Q177" s="43"/>
      <c r="R177" s="43">
        <v>34.2</v>
      </c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6">
        <f>SUM(Q177:AB177)</f>
        <v>34.2</v>
      </c>
      <c r="AD177" s="43">
        <f>P177-AC177</f>
        <v>1465.8</v>
      </c>
      <c r="AE177" s="338">
        <f>AC177*100/P177</f>
        <v>2.2800000000000002</v>
      </c>
    </row>
    <row r="178" spans="2:31" s="28" customFormat="1" ht="25.5">
      <c r="B178" s="33"/>
      <c r="C178" s="41"/>
      <c r="D178" s="41">
        <v>6060</v>
      </c>
      <c r="E178" s="42" t="s">
        <v>573</v>
      </c>
      <c r="F178" s="65">
        <v>27500</v>
      </c>
      <c r="G178" s="43"/>
      <c r="H178" s="44"/>
      <c r="I178" s="44"/>
      <c r="J178" s="44"/>
      <c r="K178" s="44"/>
      <c r="L178" s="44"/>
      <c r="M178" s="44"/>
      <c r="N178" s="44"/>
      <c r="O178" s="44"/>
      <c r="P178" s="45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6"/>
      <c r="AD178" s="43"/>
      <c r="AE178" s="338"/>
    </row>
    <row r="179" spans="2:31" s="28" customFormat="1" ht="12.75">
      <c r="B179" s="33"/>
      <c r="C179" s="35">
        <v>80104</v>
      </c>
      <c r="D179" s="35"/>
      <c r="E179" s="36" t="s">
        <v>549</v>
      </c>
      <c r="F179" s="63">
        <f>SUM(F181:F202)</f>
        <v>1395346</v>
      </c>
      <c r="G179" s="37">
        <f>SUM(G181:G202)</f>
        <v>1064626</v>
      </c>
      <c r="H179" s="38">
        <f>SUM(H181:H202)</f>
        <v>39114</v>
      </c>
      <c r="I179" s="38">
        <f>SUM(I180:I202)</f>
        <v>0</v>
      </c>
      <c r="J179" s="38">
        <f aca="true" t="shared" si="94" ref="J179:O179">SUM(J181:J202)</f>
        <v>25000</v>
      </c>
      <c r="K179" s="38">
        <f t="shared" si="94"/>
        <v>0</v>
      </c>
      <c r="L179" s="38">
        <f t="shared" si="94"/>
        <v>0</v>
      </c>
      <c r="M179" s="38">
        <f t="shared" si="94"/>
        <v>0</v>
      </c>
      <c r="N179" s="38">
        <f t="shared" si="94"/>
        <v>0</v>
      </c>
      <c r="O179" s="38">
        <f t="shared" si="94"/>
        <v>0</v>
      </c>
      <c r="P179" s="39">
        <f>SUM(P180:P202)</f>
        <v>1128740</v>
      </c>
      <c r="Q179" s="37">
        <f>SUM(Q181:Q202)</f>
        <v>71605.93000000002</v>
      </c>
      <c r="R179" s="37">
        <f aca="true" t="shared" si="95" ref="R179:AB179">SUM(R181:R202)</f>
        <v>74118.51999999999</v>
      </c>
      <c r="S179" s="37">
        <f t="shared" si="95"/>
        <v>131178.43000000002</v>
      </c>
      <c r="T179" s="37">
        <f>SUM(T180:T202)</f>
        <v>108278.63</v>
      </c>
      <c r="U179" s="37">
        <f>SUM(U180:U202)</f>
        <v>84683.27000000002</v>
      </c>
      <c r="V179" s="37">
        <f>SUM(V180:V202)</f>
        <v>80456.95</v>
      </c>
      <c r="W179" s="37">
        <f t="shared" si="95"/>
        <v>0</v>
      </c>
      <c r="X179" s="37">
        <f t="shared" si="95"/>
        <v>0</v>
      </c>
      <c r="Y179" s="37">
        <f t="shared" si="95"/>
        <v>0</v>
      </c>
      <c r="Z179" s="37">
        <f t="shared" si="95"/>
        <v>0</v>
      </c>
      <c r="AA179" s="37">
        <f t="shared" si="95"/>
        <v>0</v>
      </c>
      <c r="AB179" s="37">
        <f t="shared" si="95"/>
        <v>0</v>
      </c>
      <c r="AC179" s="37">
        <f>SUM(AC180:AC202)</f>
        <v>550321.73</v>
      </c>
      <c r="AD179" s="37">
        <f>SUM(AD180:AD202)</f>
        <v>578418.2699999999</v>
      </c>
      <c r="AE179" s="337">
        <f t="shared" si="88"/>
        <v>48.75540248418591</v>
      </c>
    </row>
    <row r="180" spans="2:31" s="28" customFormat="1" ht="51">
      <c r="B180" s="33"/>
      <c r="C180" s="35"/>
      <c r="D180" s="41">
        <v>2310</v>
      </c>
      <c r="E180" s="42" t="s">
        <v>1056</v>
      </c>
      <c r="F180" s="63"/>
      <c r="G180" s="37"/>
      <c r="H180" s="38"/>
      <c r="I180" s="44">
        <v>41400</v>
      </c>
      <c r="J180" s="38"/>
      <c r="K180" s="38"/>
      <c r="L180" s="38"/>
      <c r="M180" s="38"/>
      <c r="N180" s="38"/>
      <c r="O180" s="38"/>
      <c r="P180" s="45">
        <f aca="true" t="shared" si="96" ref="P180:P202">G180+H180+I180+J180+K180+L180+M180+N180+O180</f>
        <v>41400</v>
      </c>
      <c r="Q180" s="37"/>
      <c r="R180" s="37"/>
      <c r="S180" s="37"/>
      <c r="T180" s="43">
        <v>13926.15</v>
      </c>
      <c r="U180" s="43">
        <v>-4898.21</v>
      </c>
      <c r="V180" s="43">
        <v>14133.83</v>
      </c>
      <c r="W180" s="37"/>
      <c r="X180" s="37"/>
      <c r="Y180" s="37"/>
      <c r="Z180" s="37"/>
      <c r="AA180" s="37"/>
      <c r="AB180" s="37"/>
      <c r="AC180" s="46">
        <f>SUM(Q180:AB180)</f>
        <v>23161.769999999997</v>
      </c>
      <c r="AD180" s="43">
        <f>P180-AC180</f>
        <v>18238.230000000003</v>
      </c>
      <c r="AE180" s="338">
        <f t="shared" si="88"/>
        <v>55.94630434782608</v>
      </c>
    </row>
    <row r="181" spans="2:31" s="28" customFormat="1" ht="12.75">
      <c r="B181" s="339"/>
      <c r="C181" s="41"/>
      <c r="D181" s="41">
        <v>2540</v>
      </c>
      <c r="E181" s="42" t="s">
        <v>681</v>
      </c>
      <c r="F181" s="65">
        <v>234000</v>
      </c>
      <c r="G181" s="43">
        <v>234000</v>
      </c>
      <c r="H181" s="44"/>
      <c r="I181" s="65">
        <v>-41400</v>
      </c>
      <c r="J181" s="44"/>
      <c r="K181" s="44"/>
      <c r="L181" s="44"/>
      <c r="M181" s="44"/>
      <c r="N181" s="44"/>
      <c r="O181" s="44"/>
      <c r="P181" s="45">
        <f t="shared" si="96"/>
        <v>192600</v>
      </c>
      <c r="Q181" s="43">
        <v>13930.4</v>
      </c>
      <c r="R181" s="43">
        <v>13613.8</v>
      </c>
      <c r="S181" s="43">
        <v>24264.92</v>
      </c>
      <c r="T181" s="43">
        <v>4923.22</v>
      </c>
      <c r="U181" s="43">
        <v>24260.67</v>
      </c>
      <c r="V181" s="43">
        <v>6254.81</v>
      </c>
      <c r="W181" s="43"/>
      <c r="X181" s="43"/>
      <c r="Y181" s="43"/>
      <c r="Z181" s="43"/>
      <c r="AA181" s="43"/>
      <c r="AB181" s="43"/>
      <c r="AC181" s="46">
        <f aca="true" t="shared" si="97" ref="AC181:AC199">SUM(Q181:AB181)</f>
        <v>87247.81999999999</v>
      </c>
      <c r="AD181" s="43">
        <f aca="true" t="shared" si="98" ref="AD181:AD199">P181-AC181</f>
        <v>105352.18000000001</v>
      </c>
      <c r="AE181" s="338">
        <f t="shared" si="88"/>
        <v>45.300010384215994</v>
      </c>
    </row>
    <row r="182" spans="2:31" s="28" customFormat="1" ht="25.5">
      <c r="B182" s="33"/>
      <c r="C182" s="41"/>
      <c r="D182" s="41">
        <v>3020</v>
      </c>
      <c r="E182" s="42" t="s">
        <v>637</v>
      </c>
      <c r="F182" s="65">
        <v>24580</v>
      </c>
      <c r="G182" s="43">
        <v>21270</v>
      </c>
      <c r="H182" s="44">
        <v>7200</v>
      </c>
      <c r="I182" s="44"/>
      <c r="J182" s="44"/>
      <c r="K182" s="44"/>
      <c r="L182" s="44"/>
      <c r="M182" s="44"/>
      <c r="N182" s="44"/>
      <c r="O182" s="44"/>
      <c r="P182" s="45">
        <f t="shared" si="96"/>
        <v>28470</v>
      </c>
      <c r="Q182" s="43">
        <v>1619.59</v>
      </c>
      <c r="R182" s="43">
        <v>1593.58</v>
      </c>
      <c r="S182" s="43">
        <v>585.35</v>
      </c>
      <c r="T182" s="43">
        <v>796.24</v>
      </c>
      <c r="U182" s="43">
        <v>543.99</v>
      </c>
      <c r="V182" s="43">
        <v>543.96</v>
      </c>
      <c r="W182" s="43"/>
      <c r="X182" s="43"/>
      <c r="Y182" s="43"/>
      <c r="Z182" s="43"/>
      <c r="AA182" s="43"/>
      <c r="AB182" s="43"/>
      <c r="AC182" s="46">
        <f t="shared" si="97"/>
        <v>5682.71</v>
      </c>
      <c r="AD182" s="43">
        <f t="shared" si="98"/>
        <v>22787.29</v>
      </c>
      <c r="AE182" s="338">
        <f t="shared" si="88"/>
        <v>19.96034422198806</v>
      </c>
    </row>
    <row r="183" spans="2:31" s="28" customFormat="1" ht="12.75">
      <c r="B183" s="33"/>
      <c r="C183" s="41"/>
      <c r="D183" s="41">
        <v>4010</v>
      </c>
      <c r="E183" s="42" t="s">
        <v>631</v>
      </c>
      <c r="F183" s="65">
        <v>539110</v>
      </c>
      <c r="G183" s="43">
        <v>526100</v>
      </c>
      <c r="H183" s="44">
        <v>20000</v>
      </c>
      <c r="I183" s="44"/>
      <c r="J183" s="65">
        <v>-16000</v>
      </c>
      <c r="K183" s="44"/>
      <c r="L183" s="44"/>
      <c r="M183" s="44"/>
      <c r="N183" s="44"/>
      <c r="O183" s="44"/>
      <c r="P183" s="45">
        <f t="shared" si="96"/>
        <v>530100</v>
      </c>
      <c r="Q183" s="43">
        <v>42552.44</v>
      </c>
      <c r="R183" s="43">
        <v>41276.93</v>
      </c>
      <c r="S183" s="43">
        <v>41431.35</v>
      </c>
      <c r="T183" s="43">
        <v>51539.24</v>
      </c>
      <c r="U183" s="43">
        <v>47393.85</v>
      </c>
      <c r="V183" s="43">
        <v>44192.43</v>
      </c>
      <c r="W183" s="43"/>
      <c r="X183" s="43"/>
      <c r="Y183" s="43"/>
      <c r="Z183" s="43"/>
      <c r="AA183" s="43"/>
      <c r="AB183" s="43"/>
      <c r="AC183" s="46">
        <f t="shared" si="97"/>
        <v>268386.24</v>
      </c>
      <c r="AD183" s="43">
        <f t="shared" si="98"/>
        <v>261713.76</v>
      </c>
      <c r="AE183" s="338">
        <f t="shared" si="88"/>
        <v>50.62936049801924</v>
      </c>
    </row>
    <row r="184" spans="2:31" s="28" customFormat="1" ht="12.75">
      <c r="B184" s="33"/>
      <c r="C184" s="41"/>
      <c r="D184" s="41">
        <v>4040</v>
      </c>
      <c r="E184" s="42" t="s">
        <v>638</v>
      </c>
      <c r="F184" s="65">
        <v>41490</v>
      </c>
      <c r="G184" s="43">
        <v>41490</v>
      </c>
      <c r="H184" s="44"/>
      <c r="I184" s="65">
        <v>-4325</v>
      </c>
      <c r="J184" s="44"/>
      <c r="K184" s="44"/>
      <c r="L184" s="44"/>
      <c r="M184" s="44"/>
      <c r="N184" s="44"/>
      <c r="O184" s="44"/>
      <c r="P184" s="45">
        <f t="shared" si="96"/>
        <v>37165</v>
      </c>
      <c r="Q184" s="43"/>
      <c r="R184" s="43"/>
      <c r="S184" s="43">
        <v>24301.6</v>
      </c>
      <c r="T184" s="43">
        <v>12862.95</v>
      </c>
      <c r="U184" s="43"/>
      <c r="V184" s="43"/>
      <c r="W184" s="43"/>
      <c r="X184" s="43"/>
      <c r="Y184" s="43"/>
      <c r="Z184" s="43"/>
      <c r="AA184" s="43"/>
      <c r="AB184" s="43"/>
      <c r="AC184" s="46">
        <f t="shared" si="97"/>
        <v>37164.55</v>
      </c>
      <c r="AD184" s="43">
        <f t="shared" si="98"/>
        <v>0.4499999999970896</v>
      </c>
      <c r="AE184" s="338">
        <f t="shared" si="88"/>
        <v>99.99878918337146</v>
      </c>
    </row>
    <row r="185" spans="2:31" s="28" customFormat="1" ht="12.75">
      <c r="B185" s="33"/>
      <c r="C185" s="41"/>
      <c r="D185" s="41">
        <v>4110</v>
      </c>
      <c r="E185" s="42" t="s">
        <v>632</v>
      </c>
      <c r="F185" s="65">
        <v>100400</v>
      </c>
      <c r="G185" s="43">
        <v>86800</v>
      </c>
      <c r="H185" s="44">
        <v>9000</v>
      </c>
      <c r="I185" s="44"/>
      <c r="J185" s="44"/>
      <c r="K185" s="44"/>
      <c r="L185" s="44"/>
      <c r="M185" s="44"/>
      <c r="N185" s="44"/>
      <c r="O185" s="44"/>
      <c r="P185" s="45">
        <f t="shared" si="96"/>
        <v>95800</v>
      </c>
      <c r="Q185" s="43">
        <v>7007.52</v>
      </c>
      <c r="R185" s="43">
        <v>6355.53</v>
      </c>
      <c r="S185" s="43">
        <v>6681.55</v>
      </c>
      <c r="T185" s="43">
        <v>11920.23</v>
      </c>
      <c r="U185" s="43">
        <v>8042.58</v>
      </c>
      <c r="V185" s="43">
        <v>6813.61</v>
      </c>
      <c r="W185" s="43"/>
      <c r="X185" s="43"/>
      <c r="Y185" s="43"/>
      <c r="Z185" s="43"/>
      <c r="AA185" s="43"/>
      <c r="AB185" s="43"/>
      <c r="AC185" s="46">
        <f t="shared" si="97"/>
        <v>46821.02</v>
      </c>
      <c r="AD185" s="43">
        <f t="shared" si="98"/>
        <v>48978.98</v>
      </c>
      <c r="AE185" s="338">
        <f t="shared" si="88"/>
        <v>48.87371607515658</v>
      </c>
    </row>
    <row r="186" spans="2:31" s="28" customFormat="1" ht="12.75">
      <c r="B186" s="33"/>
      <c r="C186" s="41"/>
      <c r="D186" s="41">
        <v>4120</v>
      </c>
      <c r="E186" s="42" t="s">
        <v>639</v>
      </c>
      <c r="F186" s="65">
        <v>11300</v>
      </c>
      <c r="G186" s="43">
        <v>10500</v>
      </c>
      <c r="H186" s="44">
        <v>1200</v>
      </c>
      <c r="I186" s="44"/>
      <c r="J186" s="44"/>
      <c r="K186" s="44"/>
      <c r="L186" s="44"/>
      <c r="M186" s="44"/>
      <c r="N186" s="44"/>
      <c r="O186" s="44"/>
      <c r="P186" s="45">
        <f t="shared" si="96"/>
        <v>11700</v>
      </c>
      <c r="Q186" s="43">
        <v>966.41</v>
      </c>
      <c r="R186" s="43">
        <v>1061.47</v>
      </c>
      <c r="S186" s="43">
        <v>1010.91</v>
      </c>
      <c r="T186" s="43">
        <v>1887.64</v>
      </c>
      <c r="U186" s="43">
        <v>1291.47</v>
      </c>
      <c r="V186" s="43">
        <v>1068.2</v>
      </c>
      <c r="W186" s="43"/>
      <c r="X186" s="43"/>
      <c r="Y186" s="43"/>
      <c r="Z186" s="43"/>
      <c r="AA186" s="43"/>
      <c r="AB186" s="43"/>
      <c r="AC186" s="46">
        <f t="shared" si="97"/>
        <v>7286.1</v>
      </c>
      <c r="AD186" s="43">
        <f t="shared" si="98"/>
        <v>4413.9</v>
      </c>
      <c r="AE186" s="338">
        <f t="shared" si="88"/>
        <v>62.274358974358975</v>
      </c>
    </row>
    <row r="187" spans="2:31" s="28" customFormat="1" ht="12.75">
      <c r="B187" s="33"/>
      <c r="C187" s="41"/>
      <c r="D187" s="41">
        <v>4170</v>
      </c>
      <c r="E187" s="42" t="s">
        <v>640</v>
      </c>
      <c r="F187" s="65"/>
      <c r="G187" s="43"/>
      <c r="H187" s="44"/>
      <c r="I187" s="44"/>
      <c r="J187" s="44">
        <v>15000</v>
      </c>
      <c r="K187" s="44"/>
      <c r="L187" s="44"/>
      <c r="M187" s="44"/>
      <c r="N187" s="44"/>
      <c r="O187" s="44"/>
      <c r="P187" s="45">
        <f t="shared" si="96"/>
        <v>15000</v>
      </c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6">
        <f t="shared" si="97"/>
        <v>0</v>
      </c>
      <c r="AD187" s="43">
        <f t="shared" si="98"/>
        <v>15000</v>
      </c>
      <c r="AE187" s="338">
        <f t="shared" si="88"/>
        <v>0</v>
      </c>
    </row>
    <row r="188" spans="2:31" s="28" customFormat="1" ht="12.75">
      <c r="B188" s="33"/>
      <c r="C188" s="41"/>
      <c r="D188" s="41">
        <v>4210</v>
      </c>
      <c r="E188" s="42" t="s">
        <v>998</v>
      </c>
      <c r="F188" s="65">
        <v>20000</v>
      </c>
      <c r="G188" s="43">
        <v>20000</v>
      </c>
      <c r="H188" s="44"/>
      <c r="I188" s="44"/>
      <c r="J188" s="65">
        <v>-2000</v>
      </c>
      <c r="K188" s="44"/>
      <c r="L188" s="44"/>
      <c r="M188" s="44"/>
      <c r="N188" s="44"/>
      <c r="O188" s="44"/>
      <c r="P188" s="45">
        <f t="shared" si="96"/>
        <v>18000</v>
      </c>
      <c r="Q188" s="43">
        <v>869.84</v>
      </c>
      <c r="R188" s="43">
        <v>2507.8</v>
      </c>
      <c r="S188" s="43">
        <v>4509.69</v>
      </c>
      <c r="T188" s="43">
        <v>1502.42</v>
      </c>
      <c r="U188" s="43">
        <v>2410.97</v>
      </c>
      <c r="V188" s="43">
        <v>788.06</v>
      </c>
      <c r="W188" s="43"/>
      <c r="X188" s="43"/>
      <c r="Y188" s="43"/>
      <c r="Z188" s="43"/>
      <c r="AA188" s="43"/>
      <c r="AB188" s="43"/>
      <c r="AC188" s="46">
        <f t="shared" si="97"/>
        <v>12588.779999999999</v>
      </c>
      <c r="AD188" s="43">
        <f t="shared" si="98"/>
        <v>5411.220000000001</v>
      </c>
      <c r="AE188" s="338">
        <f t="shared" si="88"/>
        <v>69.93766666666667</v>
      </c>
    </row>
    <row r="189" spans="2:31" s="28" customFormat="1" ht="12.75">
      <c r="B189" s="33"/>
      <c r="C189" s="41"/>
      <c r="D189" s="41">
        <v>4240</v>
      </c>
      <c r="E189" s="42" t="s">
        <v>678</v>
      </c>
      <c r="F189" s="65">
        <v>10000</v>
      </c>
      <c r="G189" s="43">
        <v>20000</v>
      </c>
      <c r="H189" s="44"/>
      <c r="I189" s="44"/>
      <c r="J189" s="65">
        <v>-6000</v>
      </c>
      <c r="K189" s="44"/>
      <c r="L189" s="44"/>
      <c r="M189" s="44"/>
      <c r="N189" s="44"/>
      <c r="O189" s="44"/>
      <c r="P189" s="45">
        <f t="shared" si="96"/>
        <v>14000</v>
      </c>
      <c r="Q189" s="43">
        <v>305</v>
      </c>
      <c r="R189" s="43">
        <v>1048.15</v>
      </c>
      <c r="S189" s="43">
        <v>199.5</v>
      </c>
      <c r="T189" s="43">
        <v>932.27</v>
      </c>
      <c r="U189" s="43">
        <v>98.98</v>
      </c>
      <c r="V189" s="43">
        <v>41.9</v>
      </c>
      <c r="W189" s="43"/>
      <c r="X189" s="43"/>
      <c r="Y189" s="43"/>
      <c r="Z189" s="43"/>
      <c r="AA189" s="43"/>
      <c r="AB189" s="43"/>
      <c r="AC189" s="46">
        <f t="shared" si="97"/>
        <v>2625.8</v>
      </c>
      <c r="AD189" s="43">
        <f t="shared" si="98"/>
        <v>11374.2</v>
      </c>
      <c r="AE189" s="338">
        <f t="shared" si="88"/>
        <v>18.755714285714287</v>
      </c>
    </row>
    <row r="190" spans="2:31" s="28" customFormat="1" ht="12.75">
      <c r="B190" s="33"/>
      <c r="C190" s="41"/>
      <c r="D190" s="41">
        <v>4260</v>
      </c>
      <c r="E190" s="42" t="s">
        <v>634</v>
      </c>
      <c r="F190" s="65">
        <v>45000</v>
      </c>
      <c r="G190" s="43">
        <v>45000</v>
      </c>
      <c r="H190" s="44"/>
      <c r="I190" s="44"/>
      <c r="J190" s="44"/>
      <c r="K190" s="44"/>
      <c r="L190" s="44"/>
      <c r="M190" s="44"/>
      <c r="N190" s="44"/>
      <c r="O190" s="44"/>
      <c r="P190" s="45">
        <f t="shared" si="96"/>
        <v>45000</v>
      </c>
      <c r="Q190" s="43">
        <v>2485.6</v>
      </c>
      <c r="R190" s="43">
        <v>4897.01</v>
      </c>
      <c r="S190" s="43">
        <v>2522.35</v>
      </c>
      <c r="T190" s="43">
        <v>4918.6</v>
      </c>
      <c r="U190" s="43">
        <v>2740.25</v>
      </c>
      <c r="V190" s="43">
        <v>4884.71</v>
      </c>
      <c r="W190" s="43"/>
      <c r="X190" s="43"/>
      <c r="Y190" s="43"/>
      <c r="Z190" s="43"/>
      <c r="AA190" s="43"/>
      <c r="AB190" s="43"/>
      <c r="AC190" s="46">
        <f t="shared" si="97"/>
        <v>22448.52</v>
      </c>
      <c r="AD190" s="43">
        <f t="shared" si="98"/>
        <v>22551.48</v>
      </c>
      <c r="AE190" s="338">
        <f t="shared" si="88"/>
        <v>49.8856</v>
      </c>
    </row>
    <row r="191" spans="2:31" s="28" customFormat="1" ht="12.75">
      <c r="B191" s="33"/>
      <c r="C191" s="41"/>
      <c r="D191" s="41">
        <v>4270</v>
      </c>
      <c r="E191" s="42" t="s">
        <v>999</v>
      </c>
      <c r="F191" s="65">
        <v>4000</v>
      </c>
      <c r="G191" s="43">
        <v>4000</v>
      </c>
      <c r="H191" s="44"/>
      <c r="I191" s="44"/>
      <c r="J191" s="44"/>
      <c r="K191" s="44"/>
      <c r="L191" s="44"/>
      <c r="M191" s="44"/>
      <c r="N191" s="44"/>
      <c r="O191" s="44"/>
      <c r="P191" s="45">
        <f t="shared" si="96"/>
        <v>4000</v>
      </c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6">
        <f t="shared" si="97"/>
        <v>0</v>
      </c>
      <c r="AD191" s="43">
        <f t="shared" si="98"/>
        <v>4000</v>
      </c>
      <c r="AE191" s="338">
        <f t="shared" si="88"/>
        <v>0</v>
      </c>
    </row>
    <row r="192" spans="2:31" s="28" customFormat="1" ht="12.75">
      <c r="B192" s="33"/>
      <c r="C192" s="41"/>
      <c r="D192" s="41">
        <v>4280</v>
      </c>
      <c r="E192" s="42" t="s">
        <v>641</v>
      </c>
      <c r="F192" s="65">
        <v>1500</v>
      </c>
      <c r="G192" s="43">
        <v>1500</v>
      </c>
      <c r="H192" s="44"/>
      <c r="I192" s="44">
        <v>765</v>
      </c>
      <c r="J192" s="44"/>
      <c r="K192" s="44"/>
      <c r="L192" s="44"/>
      <c r="M192" s="44"/>
      <c r="N192" s="44"/>
      <c r="O192" s="44"/>
      <c r="P192" s="45">
        <f t="shared" si="96"/>
        <v>2265</v>
      </c>
      <c r="Q192" s="43">
        <v>140</v>
      </c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6">
        <f>SUM(Q192:AB192)</f>
        <v>140</v>
      </c>
      <c r="AD192" s="43">
        <f>P192-AC192</f>
        <v>2125</v>
      </c>
      <c r="AE192" s="338">
        <f>AC192*100/P192</f>
        <v>6.181015452538631</v>
      </c>
    </row>
    <row r="193" spans="2:31" s="28" customFormat="1" ht="12.75">
      <c r="B193" s="33"/>
      <c r="C193" s="41"/>
      <c r="D193" s="41">
        <v>4300</v>
      </c>
      <c r="E193" s="42" t="s">
        <v>1000</v>
      </c>
      <c r="F193" s="65">
        <v>7000</v>
      </c>
      <c r="G193" s="43">
        <v>7000</v>
      </c>
      <c r="H193" s="44"/>
      <c r="I193" s="44">
        <v>1500</v>
      </c>
      <c r="J193" s="44">
        <v>3000</v>
      </c>
      <c r="K193" s="44"/>
      <c r="L193" s="44"/>
      <c r="M193" s="44"/>
      <c r="N193" s="44"/>
      <c r="O193" s="44"/>
      <c r="P193" s="45">
        <f t="shared" si="96"/>
        <v>11500</v>
      </c>
      <c r="Q193" s="43">
        <v>849.46</v>
      </c>
      <c r="R193" s="43">
        <v>1303.88</v>
      </c>
      <c r="S193" s="43">
        <v>1094.35</v>
      </c>
      <c r="T193" s="43">
        <v>2610</v>
      </c>
      <c r="U193" s="43">
        <v>2519.38</v>
      </c>
      <c r="V193" s="43">
        <v>1101.45</v>
      </c>
      <c r="W193" s="43"/>
      <c r="X193" s="43"/>
      <c r="Y193" s="43"/>
      <c r="Z193" s="43"/>
      <c r="AA193" s="43"/>
      <c r="AB193" s="43"/>
      <c r="AC193" s="46">
        <f t="shared" si="97"/>
        <v>9478.52</v>
      </c>
      <c r="AD193" s="43">
        <f t="shared" si="98"/>
        <v>2021.4799999999996</v>
      </c>
      <c r="AE193" s="338">
        <f t="shared" si="88"/>
        <v>82.42191304347826</v>
      </c>
    </row>
    <row r="194" spans="2:31" s="28" customFormat="1" ht="12.75">
      <c r="B194" s="33"/>
      <c r="C194" s="41"/>
      <c r="D194" s="41">
        <v>4350</v>
      </c>
      <c r="E194" s="42" t="s">
        <v>642</v>
      </c>
      <c r="F194" s="65">
        <v>300</v>
      </c>
      <c r="G194" s="43">
        <v>300</v>
      </c>
      <c r="H194" s="44">
        <v>400</v>
      </c>
      <c r="I194" s="44">
        <v>400</v>
      </c>
      <c r="J194" s="44">
        <v>500</v>
      </c>
      <c r="K194" s="44"/>
      <c r="L194" s="44"/>
      <c r="M194" s="44"/>
      <c r="N194" s="44"/>
      <c r="O194" s="44"/>
      <c r="P194" s="45">
        <f t="shared" si="96"/>
        <v>1600</v>
      </c>
      <c r="Q194" s="43">
        <v>514.78</v>
      </c>
      <c r="R194" s="43">
        <v>28</v>
      </c>
      <c r="S194" s="43">
        <v>53.2</v>
      </c>
      <c r="T194" s="43">
        <v>56</v>
      </c>
      <c r="U194" s="43">
        <v>56</v>
      </c>
      <c r="V194" s="43">
        <v>56</v>
      </c>
      <c r="W194" s="43"/>
      <c r="X194" s="43"/>
      <c r="Y194" s="43"/>
      <c r="Z194" s="43"/>
      <c r="AA194" s="43"/>
      <c r="AB194" s="43"/>
      <c r="AC194" s="46">
        <f t="shared" si="97"/>
        <v>763.98</v>
      </c>
      <c r="AD194" s="43">
        <f>P194-AC194</f>
        <v>836.02</v>
      </c>
      <c r="AE194" s="338">
        <f>AC194*100/P194</f>
        <v>47.74875</v>
      </c>
    </row>
    <row r="195" spans="2:31" s="28" customFormat="1" ht="25.5">
      <c r="B195" s="33"/>
      <c r="C195" s="41"/>
      <c r="D195" s="41">
        <v>4360</v>
      </c>
      <c r="E195" s="42" t="s">
        <v>643</v>
      </c>
      <c r="F195" s="65">
        <v>400</v>
      </c>
      <c r="G195" s="43">
        <v>400</v>
      </c>
      <c r="H195" s="44"/>
      <c r="I195" s="44">
        <v>100</v>
      </c>
      <c r="J195" s="44">
        <v>500</v>
      </c>
      <c r="K195" s="44"/>
      <c r="L195" s="44"/>
      <c r="M195" s="44"/>
      <c r="N195" s="44"/>
      <c r="O195" s="44"/>
      <c r="P195" s="45">
        <f t="shared" si="96"/>
        <v>1000</v>
      </c>
      <c r="Q195" s="43">
        <v>37.82</v>
      </c>
      <c r="R195" s="43">
        <v>37.82</v>
      </c>
      <c r="S195" s="43">
        <v>37.82</v>
      </c>
      <c r="T195" s="43">
        <v>37.82</v>
      </c>
      <c r="U195" s="43">
        <v>37.82</v>
      </c>
      <c r="V195" s="43">
        <v>37.82</v>
      </c>
      <c r="W195" s="43"/>
      <c r="X195" s="43"/>
      <c r="Y195" s="43"/>
      <c r="Z195" s="43"/>
      <c r="AA195" s="43"/>
      <c r="AB195" s="43"/>
      <c r="AC195" s="46">
        <f t="shared" si="97"/>
        <v>226.92</v>
      </c>
      <c r="AD195" s="43">
        <f>P195-AC195</f>
        <v>773.08</v>
      </c>
      <c r="AE195" s="338">
        <f>AC195*100/P195</f>
        <v>22.692</v>
      </c>
    </row>
    <row r="196" spans="2:31" s="28" customFormat="1" ht="25.5">
      <c r="B196" s="33"/>
      <c r="C196" s="41"/>
      <c r="D196" s="41">
        <v>4370</v>
      </c>
      <c r="E196" s="42" t="s">
        <v>644</v>
      </c>
      <c r="F196" s="65">
        <v>2500</v>
      </c>
      <c r="G196" s="43">
        <v>2500</v>
      </c>
      <c r="H196" s="65">
        <v>-400</v>
      </c>
      <c r="I196" s="44"/>
      <c r="J196" s="44">
        <v>1000</v>
      </c>
      <c r="K196" s="44"/>
      <c r="L196" s="44"/>
      <c r="M196" s="44"/>
      <c r="N196" s="44"/>
      <c r="O196" s="44"/>
      <c r="P196" s="45">
        <f t="shared" si="96"/>
        <v>3100</v>
      </c>
      <c r="Q196" s="43">
        <v>162.82</v>
      </c>
      <c r="R196" s="43">
        <v>148.9</v>
      </c>
      <c r="S196" s="43">
        <v>191.09</v>
      </c>
      <c r="T196" s="43">
        <v>161.48</v>
      </c>
      <c r="U196" s="43">
        <v>170.52</v>
      </c>
      <c r="V196" s="43">
        <v>164</v>
      </c>
      <c r="W196" s="43"/>
      <c r="X196" s="43"/>
      <c r="Y196" s="43"/>
      <c r="Z196" s="43"/>
      <c r="AA196" s="43"/>
      <c r="AB196" s="43"/>
      <c r="AC196" s="46">
        <f>SUM(Q196:AB196)</f>
        <v>998.8100000000001</v>
      </c>
      <c r="AD196" s="43">
        <f>P196-AC196</f>
        <v>2101.19</v>
      </c>
      <c r="AE196" s="338">
        <f>AC196*100/P196</f>
        <v>32.21967741935484</v>
      </c>
    </row>
    <row r="197" spans="2:31" s="28" customFormat="1" ht="12.75">
      <c r="B197" s="33"/>
      <c r="C197" s="41"/>
      <c r="D197" s="41">
        <v>4410</v>
      </c>
      <c r="E197" s="42" t="s">
        <v>635</v>
      </c>
      <c r="F197" s="65">
        <v>1000</v>
      </c>
      <c r="G197" s="43">
        <v>1000</v>
      </c>
      <c r="H197" s="44"/>
      <c r="I197" s="44">
        <v>300</v>
      </c>
      <c r="J197" s="44"/>
      <c r="K197" s="44"/>
      <c r="L197" s="44"/>
      <c r="M197" s="44"/>
      <c r="N197" s="44"/>
      <c r="O197" s="44"/>
      <c r="P197" s="45">
        <f t="shared" si="96"/>
        <v>1300</v>
      </c>
      <c r="Q197" s="43"/>
      <c r="R197" s="43">
        <v>117.59</v>
      </c>
      <c r="S197" s="43">
        <v>183.87</v>
      </c>
      <c r="T197" s="43">
        <v>40.12</v>
      </c>
      <c r="U197" s="43"/>
      <c r="V197" s="43">
        <v>173.86</v>
      </c>
      <c r="W197" s="43"/>
      <c r="X197" s="43"/>
      <c r="Y197" s="43"/>
      <c r="Z197" s="43"/>
      <c r="AA197" s="43"/>
      <c r="AB197" s="43"/>
      <c r="AC197" s="46">
        <f t="shared" si="97"/>
        <v>515.44</v>
      </c>
      <c r="AD197" s="43">
        <f t="shared" si="98"/>
        <v>784.56</v>
      </c>
      <c r="AE197" s="338">
        <f t="shared" si="88"/>
        <v>39.649230769230776</v>
      </c>
    </row>
    <row r="198" spans="2:31" s="28" customFormat="1" ht="12.75">
      <c r="B198" s="33"/>
      <c r="C198" s="41"/>
      <c r="D198" s="41">
        <v>4430</v>
      </c>
      <c r="E198" s="42" t="s">
        <v>679</v>
      </c>
      <c r="F198" s="65">
        <v>500</v>
      </c>
      <c r="G198" s="43">
        <v>500</v>
      </c>
      <c r="H198" s="44"/>
      <c r="I198" s="44">
        <v>260</v>
      </c>
      <c r="J198" s="44"/>
      <c r="K198" s="44"/>
      <c r="L198" s="44"/>
      <c r="M198" s="44"/>
      <c r="N198" s="44"/>
      <c r="O198" s="44"/>
      <c r="P198" s="45">
        <f t="shared" si="96"/>
        <v>760</v>
      </c>
      <c r="Q198" s="43">
        <v>164.25</v>
      </c>
      <c r="R198" s="43"/>
      <c r="S198" s="43"/>
      <c r="T198" s="43">
        <v>164.25</v>
      </c>
      <c r="U198" s="43"/>
      <c r="V198" s="43"/>
      <c r="W198" s="43"/>
      <c r="X198" s="43"/>
      <c r="Y198" s="43"/>
      <c r="Z198" s="43"/>
      <c r="AA198" s="43"/>
      <c r="AB198" s="43"/>
      <c r="AC198" s="46">
        <f t="shared" si="97"/>
        <v>328.5</v>
      </c>
      <c r="AD198" s="43">
        <f t="shared" si="98"/>
        <v>431.5</v>
      </c>
      <c r="AE198" s="338">
        <f t="shared" si="88"/>
        <v>43.223684210526315</v>
      </c>
    </row>
    <row r="199" spans="2:31" s="28" customFormat="1" ht="25.5">
      <c r="B199" s="33"/>
      <c r="C199" s="41"/>
      <c r="D199" s="41">
        <v>4440</v>
      </c>
      <c r="E199" s="42" t="s">
        <v>645</v>
      </c>
      <c r="F199" s="65">
        <v>30266</v>
      </c>
      <c r="G199" s="43">
        <v>30266</v>
      </c>
      <c r="H199" s="44">
        <v>1714</v>
      </c>
      <c r="I199" s="44"/>
      <c r="J199" s="44"/>
      <c r="K199" s="44"/>
      <c r="L199" s="44"/>
      <c r="M199" s="44"/>
      <c r="N199" s="44"/>
      <c r="O199" s="44"/>
      <c r="P199" s="45">
        <f t="shared" si="96"/>
        <v>31980</v>
      </c>
      <c r="Q199" s="43"/>
      <c r="R199" s="43"/>
      <c r="S199" s="43">
        <v>23985</v>
      </c>
      <c r="T199" s="43"/>
      <c r="U199" s="43"/>
      <c r="V199" s="43"/>
      <c r="W199" s="43"/>
      <c r="X199" s="43"/>
      <c r="Y199" s="43"/>
      <c r="Z199" s="43"/>
      <c r="AA199" s="43"/>
      <c r="AB199" s="43"/>
      <c r="AC199" s="46">
        <f t="shared" si="97"/>
        <v>23985</v>
      </c>
      <c r="AD199" s="43">
        <f t="shared" si="98"/>
        <v>7995</v>
      </c>
      <c r="AE199" s="338">
        <f t="shared" si="88"/>
        <v>75</v>
      </c>
    </row>
    <row r="200" spans="2:31" s="28" customFormat="1" ht="25.5">
      <c r="B200" s="33"/>
      <c r="C200" s="41"/>
      <c r="D200" s="41">
        <v>4740</v>
      </c>
      <c r="E200" s="42" t="s">
        <v>616</v>
      </c>
      <c r="F200" s="65">
        <v>2000</v>
      </c>
      <c r="G200" s="43">
        <v>2000</v>
      </c>
      <c r="H200" s="44"/>
      <c r="I200" s="44">
        <v>1000</v>
      </c>
      <c r="J200" s="44">
        <v>4000</v>
      </c>
      <c r="K200" s="44"/>
      <c r="L200" s="44"/>
      <c r="M200" s="44"/>
      <c r="N200" s="44"/>
      <c r="O200" s="44"/>
      <c r="P200" s="45">
        <f t="shared" si="96"/>
        <v>7000</v>
      </c>
      <c r="Q200" s="43"/>
      <c r="R200" s="43">
        <v>128.06</v>
      </c>
      <c r="S200" s="43">
        <v>125.88</v>
      </c>
      <c r="T200" s="43"/>
      <c r="U200" s="43">
        <v>15</v>
      </c>
      <c r="V200" s="43">
        <v>202.31</v>
      </c>
      <c r="W200" s="43"/>
      <c r="X200" s="43"/>
      <c r="Y200" s="43"/>
      <c r="Z200" s="43"/>
      <c r="AA200" s="43"/>
      <c r="AB200" s="43"/>
      <c r="AC200" s="46">
        <f>SUM(Q200:AB200)</f>
        <v>471.25</v>
      </c>
      <c r="AD200" s="43">
        <f>P200-AC200</f>
        <v>6528.75</v>
      </c>
      <c r="AE200" s="338">
        <f>AC200*100/P200</f>
        <v>6.732142857142857</v>
      </c>
    </row>
    <row r="201" spans="2:31" s="28" customFormat="1" ht="25.5">
      <c r="B201" s="33"/>
      <c r="C201" s="41"/>
      <c r="D201" s="41">
        <v>6050</v>
      </c>
      <c r="E201" s="42" t="s">
        <v>1001</v>
      </c>
      <c r="F201" s="65">
        <v>300000</v>
      </c>
      <c r="G201" s="43">
        <v>10000</v>
      </c>
      <c r="H201" s="44"/>
      <c r="I201" s="44"/>
      <c r="J201" s="44">
        <v>25000</v>
      </c>
      <c r="K201" s="44"/>
      <c r="L201" s="44"/>
      <c r="M201" s="44"/>
      <c r="N201" s="44"/>
      <c r="O201" s="44"/>
      <c r="P201" s="45">
        <f t="shared" si="96"/>
        <v>35000</v>
      </c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6">
        <f>SUM(Q201:AB201)</f>
        <v>0</v>
      </c>
      <c r="AD201" s="43">
        <f>P201-AC201</f>
        <v>35000</v>
      </c>
      <c r="AE201" s="338">
        <f>AC201*100/P201</f>
        <v>0</v>
      </c>
    </row>
    <row r="202" spans="2:31" s="28" customFormat="1" ht="25.5" hidden="1">
      <c r="B202" s="33"/>
      <c r="C202" s="41"/>
      <c r="D202" s="41">
        <v>6060</v>
      </c>
      <c r="E202" s="42" t="s">
        <v>573</v>
      </c>
      <c r="F202" s="65">
        <v>20000</v>
      </c>
      <c r="G202" s="43"/>
      <c r="H202" s="44"/>
      <c r="I202" s="44"/>
      <c r="J202" s="44"/>
      <c r="K202" s="44"/>
      <c r="L202" s="44"/>
      <c r="M202" s="44"/>
      <c r="N202" s="44"/>
      <c r="O202" s="44"/>
      <c r="P202" s="45">
        <f t="shared" si="96"/>
        <v>0</v>
      </c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6">
        <f>SUM(Q202:AB202)</f>
        <v>0</v>
      </c>
      <c r="AD202" s="43">
        <f>P202-AC202</f>
        <v>0</v>
      </c>
      <c r="AE202" s="338" t="e">
        <f>AC202*100/P202</f>
        <v>#DIV/0!</v>
      </c>
    </row>
    <row r="203" spans="2:31" s="28" customFormat="1" ht="12.75">
      <c r="B203" s="33"/>
      <c r="C203" s="35">
        <v>80110</v>
      </c>
      <c r="D203" s="35"/>
      <c r="E203" s="36" t="s">
        <v>552</v>
      </c>
      <c r="F203" s="63">
        <f>SUM(F204:F225)</f>
        <v>1727943</v>
      </c>
      <c r="G203" s="37">
        <f>SUM(G204:G225)</f>
        <v>1615943</v>
      </c>
      <c r="H203" s="38">
        <f>SUM(H204:H225)</f>
        <v>182483</v>
      </c>
      <c r="I203" s="38">
        <f aca="true" t="shared" si="99" ref="I203:O203">SUM(I204:I225)</f>
        <v>0</v>
      </c>
      <c r="J203" s="38">
        <f t="shared" si="99"/>
        <v>0</v>
      </c>
      <c r="K203" s="38">
        <f t="shared" si="99"/>
        <v>0</v>
      </c>
      <c r="L203" s="38">
        <f t="shared" si="99"/>
        <v>0</v>
      </c>
      <c r="M203" s="38">
        <f t="shared" si="99"/>
        <v>0</v>
      </c>
      <c r="N203" s="38">
        <f t="shared" si="99"/>
        <v>0</v>
      </c>
      <c r="O203" s="38">
        <f t="shared" si="99"/>
        <v>0</v>
      </c>
      <c r="P203" s="39">
        <f>SUM(P204:P225)</f>
        <v>1798426</v>
      </c>
      <c r="Q203" s="37">
        <f>SUM(Q204:Q225)</f>
        <v>112486.97</v>
      </c>
      <c r="R203" s="37">
        <f aca="true" t="shared" si="100" ref="R203:AB203">SUM(R204:R225)</f>
        <v>116823.29999999999</v>
      </c>
      <c r="S203" s="37">
        <f t="shared" si="100"/>
        <v>231267.76</v>
      </c>
      <c r="T203" s="37">
        <f t="shared" si="100"/>
        <v>202244.17000000004</v>
      </c>
      <c r="U203" s="37">
        <f t="shared" si="100"/>
        <v>134619.37</v>
      </c>
      <c r="V203" s="37">
        <f>SUM(V204:V225)</f>
        <v>179850.15</v>
      </c>
      <c r="W203" s="37">
        <f t="shared" si="100"/>
        <v>0</v>
      </c>
      <c r="X203" s="37">
        <f t="shared" si="100"/>
        <v>0</v>
      </c>
      <c r="Y203" s="37">
        <f t="shared" si="100"/>
        <v>0</v>
      </c>
      <c r="Z203" s="37">
        <f t="shared" si="100"/>
        <v>0</v>
      </c>
      <c r="AA203" s="37">
        <f t="shared" si="100"/>
        <v>0</v>
      </c>
      <c r="AB203" s="37">
        <f t="shared" si="100"/>
        <v>0</v>
      </c>
      <c r="AC203" s="37">
        <f>SUM(AC204:AC225)</f>
        <v>977291.72</v>
      </c>
      <c r="AD203" s="37">
        <f>SUM(AD204:AD225)</f>
        <v>821134.28</v>
      </c>
      <c r="AE203" s="337">
        <f t="shared" si="88"/>
        <v>54.341503069906686</v>
      </c>
    </row>
    <row r="204" spans="2:31" s="28" customFormat="1" ht="25.5">
      <c r="B204" s="33"/>
      <c r="C204" s="35"/>
      <c r="D204" s="41">
        <v>3020</v>
      </c>
      <c r="E204" s="42" t="s">
        <v>637</v>
      </c>
      <c r="F204" s="65">
        <v>77680</v>
      </c>
      <c r="G204" s="43">
        <v>75220</v>
      </c>
      <c r="H204" s="44">
        <v>7000</v>
      </c>
      <c r="I204" s="44"/>
      <c r="J204" s="44"/>
      <c r="K204" s="44"/>
      <c r="L204" s="44"/>
      <c r="M204" s="44"/>
      <c r="N204" s="44"/>
      <c r="O204" s="44"/>
      <c r="P204" s="45">
        <f aca="true" t="shared" si="101" ref="P204:P225">G204+H204+I204+J204+K204+L204+M204+N204+O204</f>
        <v>82220</v>
      </c>
      <c r="Q204" s="43">
        <v>4965.88</v>
      </c>
      <c r="R204" s="43">
        <v>5157.12</v>
      </c>
      <c r="S204" s="43">
        <v>1661.12</v>
      </c>
      <c r="T204" s="43">
        <v>1640.96</v>
      </c>
      <c r="U204" s="43">
        <v>1785.53</v>
      </c>
      <c r="V204" s="43">
        <v>1751.49</v>
      </c>
      <c r="W204" s="43"/>
      <c r="X204" s="43"/>
      <c r="Y204" s="43"/>
      <c r="Z204" s="43"/>
      <c r="AA204" s="43"/>
      <c r="AB204" s="43"/>
      <c r="AC204" s="46">
        <f aca="true" t="shared" si="102" ref="AC204:AC225">SUM(Q204:AB204)</f>
        <v>16962.1</v>
      </c>
      <c r="AD204" s="43">
        <f aca="true" t="shared" si="103" ref="AD204:AD224">P204-AC204</f>
        <v>65257.9</v>
      </c>
      <c r="AE204" s="338">
        <f t="shared" si="88"/>
        <v>20.630138652396006</v>
      </c>
    </row>
    <row r="205" spans="2:31" s="28" customFormat="1" ht="12.75">
      <c r="B205" s="33"/>
      <c r="C205" s="35"/>
      <c r="D205" s="41">
        <v>4010</v>
      </c>
      <c r="E205" s="42" t="s">
        <v>631</v>
      </c>
      <c r="F205" s="65">
        <v>996750</v>
      </c>
      <c r="G205" s="43">
        <v>973960</v>
      </c>
      <c r="H205" s="44">
        <v>120434</v>
      </c>
      <c r="I205" s="44"/>
      <c r="J205" s="44"/>
      <c r="K205" s="44"/>
      <c r="L205" s="44"/>
      <c r="M205" s="44"/>
      <c r="N205" s="44"/>
      <c r="O205" s="44"/>
      <c r="P205" s="45">
        <f t="shared" si="101"/>
        <v>1094394</v>
      </c>
      <c r="Q205" s="43">
        <v>83124.64</v>
      </c>
      <c r="R205" s="43">
        <v>82088.85</v>
      </c>
      <c r="S205" s="43">
        <v>87208.71</v>
      </c>
      <c r="T205" s="43">
        <v>107851.3</v>
      </c>
      <c r="U205" s="43">
        <v>98791.24</v>
      </c>
      <c r="V205" s="43">
        <v>90574.01</v>
      </c>
      <c r="W205" s="43"/>
      <c r="X205" s="43"/>
      <c r="Y205" s="43"/>
      <c r="Z205" s="43"/>
      <c r="AA205" s="43"/>
      <c r="AB205" s="43"/>
      <c r="AC205" s="46">
        <f t="shared" si="102"/>
        <v>549638.75</v>
      </c>
      <c r="AD205" s="43">
        <f t="shared" si="103"/>
        <v>544755.25</v>
      </c>
      <c r="AE205" s="338">
        <f t="shared" si="88"/>
        <v>50.22311434455964</v>
      </c>
    </row>
    <row r="206" spans="2:31" s="28" customFormat="1" ht="12.75">
      <c r="B206" s="33"/>
      <c r="C206" s="35"/>
      <c r="D206" s="41">
        <v>4040</v>
      </c>
      <c r="E206" s="42" t="s">
        <v>638</v>
      </c>
      <c r="F206" s="65">
        <v>86100</v>
      </c>
      <c r="G206" s="43">
        <v>86100</v>
      </c>
      <c r="H206" s="44"/>
      <c r="I206" s="65">
        <v>-5000</v>
      </c>
      <c r="J206" s="44"/>
      <c r="K206" s="44"/>
      <c r="L206" s="44"/>
      <c r="M206" s="44"/>
      <c r="N206" s="44"/>
      <c r="O206" s="44"/>
      <c r="P206" s="45">
        <f t="shared" si="101"/>
        <v>81100</v>
      </c>
      <c r="Q206" s="43"/>
      <c r="R206" s="43"/>
      <c r="S206" s="43">
        <v>55811.94</v>
      </c>
      <c r="T206" s="43">
        <v>25286.91</v>
      </c>
      <c r="U206" s="43"/>
      <c r="V206" s="43"/>
      <c r="W206" s="43"/>
      <c r="X206" s="43"/>
      <c r="Y206" s="43"/>
      <c r="Z206" s="43"/>
      <c r="AA206" s="43"/>
      <c r="AB206" s="43"/>
      <c r="AC206" s="46">
        <f t="shared" si="102"/>
        <v>81098.85</v>
      </c>
      <c r="AD206" s="43">
        <f t="shared" si="103"/>
        <v>1.1499999999941792</v>
      </c>
      <c r="AE206" s="338">
        <f t="shared" si="88"/>
        <v>99.99858199753392</v>
      </c>
    </row>
    <row r="207" spans="2:31" s="28" customFormat="1" ht="12.75">
      <c r="B207" s="33"/>
      <c r="C207" s="37"/>
      <c r="D207" s="41">
        <v>4110</v>
      </c>
      <c r="E207" s="42" t="s">
        <v>632</v>
      </c>
      <c r="F207" s="65">
        <v>194650</v>
      </c>
      <c r="G207" s="43">
        <v>168500</v>
      </c>
      <c r="H207" s="44">
        <v>22000</v>
      </c>
      <c r="I207" s="44"/>
      <c r="J207" s="44"/>
      <c r="K207" s="44"/>
      <c r="L207" s="44"/>
      <c r="M207" s="44"/>
      <c r="N207" s="44"/>
      <c r="O207" s="44"/>
      <c r="P207" s="45">
        <f t="shared" si="101"/>
        <v>190500</v>
      </c>
      <c r="Q207" s="43">
        <v>14882.9</v>
      </c>
      <c r="R207" s="43">
        <v>14017.03</v>
      </c>
      <c r="S207" s="43">
        <v>13710.64</v>
      </c>
      <c r="T207" s="43">
        <v>26382.66</v>
      </c>
      <c r="U207" s="43">
        <v>16853.12</v>
      </c>
      <c r="V207" s="43">
        <v>15210.98</v>
      </c>
      <c r="W207" s="43"/>
      <c r="X207" s="43"/>
      <c r="Y207" s="43"/>
      <c r="Z207" s="43"/>
      <c r="AA207" s="43"/>
      <c r="AB207" s="43"/>
      <c r="AC207" s="46">
        <f t="shared" si="102"/>
        <v>101057.32999999999</v>
      </c>
      <c r="AD207" s="43">
        <f t="shared" si="103"/>
        <v>89442.67000000001</v>
      </c>
      <c r="AE207" s="338">
        <f t="shared" si="88"/>
        <v>53.04846719160104</v>
      </c>
    </row>
    <row r="208" spans="2:31" s="28" customFormat="1" ht="12.75">
      <c r="B208" s="33"/>
      <c r="C208" s="35"/>
      <c r="D208" s="41">
        <v>4120</v>
      </c>
      <c r="E208" s="42" t="s">
        <v>639</v>
      </c>
      <c r="F208" s="65">
        <v>27500</v>
      </c>
      <c r="G208" s="43">
        <v>26900</v>
      </c>
      <c r="H208" s="44">
        <v>3100</v>
      </c>
      <c r="I208" s="44"/>
      <c r="J208" s="44"/>
      <c r="K208" s="44"/>
      <c r="L208" s="44"/>
      <c r="M208" s="44"/>
      <c r="N208" s="44"/>
      <c r="O208" s="44"/>
      <c r="P208" s="45">
        <f t="shared" si="101"/>
        <v>30000</v>
      </c>
      <c r="Q208" s="43">
        <v>2087.84</v>
      </c>
      <c r="R208" s="43">
        <v>2049.38</v>
      </c>
      <c r="S208" s="43">
        <v>2138.05</v>
      </c>
      <c r="T208" s="43">
        <v>4137.19</v>
      </c>
      <c r="U208" s="43">
        <v>2855.18</v>
      </c>
      <c r="V208" s="43">
        <v>2246.63</v>
      </c>
      <c r="W208" s="43"/>
      <c r="X208" s="43"/>
      <c r="Y208" s="43"/>
      <c r="Z208" s="43"/>
      <c r="AA208" s="43"/>
      <c r="AB208" s="43"/>
      <c r="AC208" s="46">
        <f t="shared" si="102"/>
        <v>15514.27</v>
      </c>
      <c r="AD208" s="43">
        <f t="shared" si="103"/>
        <v>14485.73</v>
      </c>
      <c r="AE208" s="338">
        <f t="shared" si="88"/>
        <v>51.71423333333333</v>
      </c>
    </row>
    <row r="209" spans="2:31" s="28" customFormat="1" ht="12.75">
      <c r="B209" s="33"/>
      <c r="C209" s="35"/>
      <c r="D209" s="41">
        <v>4210</v>
      </c>
      <c r="E209" s="42" t="s">
        <v>998</v>
      </c>
      <c r="F209" s="65">
        <v>30000</v>
      </c>
      <c r="G209" s="43">
        <v>30000</v>
      </c>
      <c r="H209" s="44"/>
      <c r="I209" s="44"/>
      <c r="J209" s="44"/>
      <c r="K209" s="44"/>
      <c r="L209" s="44"/>
      <c r="M209" s="44"/>
      <c r="N209" s="44"/>
      <c r="O209" s="44"/>
      <c r="P209" s="45">
        <f t="shared" si="101"/>
        <v>30000</v>
      </c>
      <c r="Q209" s="43">
        <v>1848.81</v>
      </c>
      <c r="R209" s="43">
        <v>1403.87</v>
      </c>
      <c r="S209" s="43">
        <v>6632.76</v>
      </c>
      <c r="T209" s="43">
        <v>3940.35</v>
      </c>
      <c r="U209" s="43">
        <v>4302.66</v>
      </c>
      <c r="V209" s="43">
        <v>3856.66</v>
      </c>
      <c r="W209" s="43"/>
      <c r="X209" s="43"/>
      <c r="Y209" s="43"/>
      <c r="Z209" s="43"/>
      <c r="AA209" s="43"/>
      <c r="AB209" s="43"/>
      <c r="AC209" s="46">
        <f t="shared" si="102"/>
        <v>21985.11</v>
      </c>
      <c r="AD209" s="43">
        <f t="shared" si="103"/>
        <v>8014.889999999999</v>
      </c>
      <c r="AE209" s="338">
        <f t="shared" si="88"/>
        <v>73.2837</v>
      </c>
    </row>
    <row r="210" spans="2:31" s="28" customFormat="1" ht="12.75">
      <c r="B210" s="33"/>
      <c r="C210" s="35"/>
      <c r="D210" s="41">
        <v>4240</v>
      </c>
      <c r="E210" s="42" t="s">
        <v>678</v>
      </c>
      <c r="F210" s="65">
        <v>5000</v>
      </c>
      <c r="G210" s="43">
        <v>5000</v>
      </c>
      <c r="H210" s="44"/>
      <c r="I210" s="44"/>
      <c r="J210" s="44"/>
      <c r="K210" s="44"/>
      <c r="L210" s="44"/>
      <c r="M210" s="44"/>
      <c r="N210" s="44"/>
      <c r="O210" s="44"/>
      <c r="P210" s="45">
        <f t="shared" si="101"/>
        <v>5000</v>
      </c>
      <c r="Q210" s="43"/>
      <c r="R210" s="43">
        <v>315.51</v>
      </c>
      <c r="S210" s="43">
        <v>507.87</v>
      </c>
      <c r="T210" s="43">
        <v>216.14</v>
      </c>
      <c r="U210" s="43"/>
      <c r="V210" s="43"/>
      <c r="W210" s="43"/>
      <c r="X210" s="43"/>
      <c r="Y210" s="43"/>
      <c r="Z210" s="43"/>
      <c r="AA210" s="43"/>
      <c r="AB210" s="43"/>
      <c r="AC210" s="46">
        <f t="shared" si="102"/>
        <v>1039.52</v>
      </c>
      <c r="AD210" s="43">
        <f t="shared" si="103"/>
        <v>3960.48</v>
      </c>
      <c r="AE210" s="338">
        <f t="shared" si="88"/>
        <v>20.7904</v>
      </c>
    </row>
    <row r="211" spans="2:31" s="28" customFormat="1" ht="12.75">
      <c r="B211" s="33"/>
      <c r="C211" s="35"/>
      <c r="D211" s="41">
        <v>4260</v>
      </c>
      <c r="E211" s="42" t="s">
        <v>634</v>
      </c>
      <c r="F211" s="65">
        <v>130000</v>
      </c>
      <c r="G211" s="43">
        <v>130000</v>
      </c>
      <c r="H211" s="44"/>
      <c r="I211" s="44"/>
      <c r="J211" s="65">
        <v>-35100</v>
      </c>
      <c r="K211" s="44"/>
      <c r="L211" s="44"/>
      <c r="M211" s="44"/>
      <c r="N211" s="44"/>
      <c r="O211" s="44"/>
      <c r="P211" s="45">
        <f t="shared" si="101"/>
        <v>94900</v>
      </c>
      <c r="Q211" s="43">
        <v>1523.69</v>
      </c>
      <c r="R211" s="43">
        <v>5050.65</v>
      </c>
      <c r="S211" s="43">
        <v>7101.14</v>
      </c>
      <c r="T211" s="43">
        <v>3984.41</v>
      </c>
      <c r="U211" s="43">
        <v>3927.97</v>
      </c>
      <c r="V211" s="43">
        <v>31127.66</v>
      </c>
      <c r="W211" s="43"/>
      <c r="X211" s="43"/>
      <c r="Y211" s="43"/>
      <c r="Z211" s="43"/>
      <c r="AA211" s="43"/>
      <c r="AB211" s="43"/>
      <c r="AC211" s="46">
        <f t="shared" si="102"/>
        <v>52715.520000000004</v>
      </c>
      <c r="AD211" s="43">
        <f t="shared" si="103"/>
        <v>42184.479999999996</v>
      </c>
      <c r="AE211" s="338">
        <f t="shared" si="88"/>
        <v>55.54849315068493</v>
      </c>
    </row>
    <row r="212" spans="2:31" s="28" customFormat="1" ht="12.75">
      <c r="B212" s="33"/>
      <c r="C212" s="35"/>
      <c r="D212" s="41">
        <v>4270</v>
      </c>
      <c r="E212" s="42" t="s">
        <v>999</v>
      </c>
      <c r="F212" s="65">
        <v>3000</v>
      </c>
      <c r="G212" s="43">
        <v>3000</v>
      </c>
      <c r="H212" s="44"/>
      <c r="I212" s="44"/>
      <c r="J212" s="44">
        <v>13000</v>
      </c>
      <c r="K212" s="44"/>
      <c r="L212" s="44"/>
      <c r="M212" s="44"/>
      <c r="N212" s="44"/>
      <c r="O212" s="44"/>
      <c r="P212" s="45">
        <f t="shared" si="101"/>
        <v>16000</v>
      </c>
      <c r="Q212" s="43"/>
      <c r="R212" s="43"/>
      <c r="S212" s="43"/>
      <c r="T212" s="43"/>
      <c r="U212" s="43"/>
      <c r="V212" s="43">
        <v>13678.58</v>
      </c>
      <c r="W212" s="43"/>
      <c r="X212" s="43"/>
      <c r="Y212" s="43"/>
      <c r="Z212" s="43"/>
      <c r="AA212" s="43"/>
      <c r="AB212" s="43"/>
      <c r="AC212" s="46">
        <f>SUM(Q212:AB212)</f>
        <v>13678.58</v>
      </c>
      <c r="AD212" s="43">
        <f>P212-AC212</f>
        <v>2321.42</v>
      </c>
      <c r="AE212" s="338">
        <f>AC212*100/P212</f>
        <v>85.491125</v>
      </c>
    </row>
    <row r="213" spans="2:31" s="28" customFormat="1" ht="12.75">
      <c r="B213" s="33"/>
      <c r="C213" s="35"/>
      <c r="D213" s="41">
        <v>4280</v>
      </c>
      <c r="E213" s="42" t="s">
        <v>641</v>
      </c>
      <c r="F213" s="65">
        <v>2400</v>
      </c>
      <c r="G213" s="43">
        <v>2400</v>
      </c>
      <c r="H213" s="44"/>
      <c r="I213" s="44">
        <v>1000</v>
      </c>
      <c r="J213" s="44"/>
      <c r="K213" s="44"/>
      <c r="L213" s="44"/>
      <c r="M213" s="44"/>
      <c r="N213" s="44"/>
      <c r="O213" s="44"/>
      <c r="P213" s="45">
        <f t="shared" si="101"/>
        <v>3400</v>
      </c>
      <c r="Q213" s="43"/>
      <c r="R213" s="43">
        <v>87</v>
      </c>
      <c r="S213" s="43">
        <v>990</v>
      </c>
      <c r="T213" s="43"/>
      <c r="U213" s="43"/>
      <c r="V213" s="43"/>
      <c r="W213" s="43"/>
      <c r="X213" s="43"/>
      <c r="Y213" s="43"/>
      <c r="Z213" s="43"/>
      <c r="AA213" s="43"/>
      <c r="AB213" s="43"/>
      <c r="AC213" s="46">
        <f>SUM(Q213:AB213)</f>
        <v>1077</v>
      </c>
      <c r="AD213" s="43">
        <f>P213-AC213</f>
        <v>2323</v>
      </c>
      <c r="AE213" s="338">
        <f>AC213*100/P213</f>
        <v>31.676470588235293</v>
      </c>
    </row>
    <row r="214" spans="2:31" s="28" customFormat="1" ht="12.75">
      <c r="B214" s="33"/>
      <c r="C214" s="35"/>
      <c r="D214" s="41">
        <v>4300</v>
      </c>
      <c r="E214" s="42" t="s">
        <v>1000</v>
      </c>
      <c r="F214" s="65">
        <v>12000</v>
      </c>
      <c r="G214" s="43">
        <v>12000</v>
      </c>
      <c r="H214" s="44"/>
      <c r="I214" s="44"/>
      <c r="J214" s="44">
        <v>12000</v>
      </c>
      <c r="K214" s="44"/>
      <c r="L214" s="44"/>
      <c r="M214" s="44"/>
      <c r="N214" s="44"/>
      <c r="O214" s="44"/>
      <c r="P214" s="45">
        <f t="shared" si="101"/>
        <v>24000</v>
      </c>
      <c r="Q214" s="43">
        <v>2781.69</v>
      </c>
      <c r="R214" s="43">
        <v>863.54</v>
      </c>
      <c r="S214" s="43">
        <v>1393.3</v>
      </c>
      <c r="T214" s="43">
        <v>4437.12</v>
      </c>
      <c r="U214" s="43">
        <v>2436.37</v>
      </c>
      <c r="V214" s="43">
        <v>1596.79</v>
      </c>
      <c r="W214" s="43"/>
      <c r="X214" s="43"/>
      <c r="Y214" s="43"/>
      <c r="Z214" s="43"/>
      <c r="AA214" s="43"/>
      <c r="AB214" s="43"/>
      <c r="AC214" s="46">
        <f t="shared" si="102"/>
        <v>13508.810000000001</v>
      </c>
      <c r="AD214" s="43">
        <f t="shared" si="103"/>
        <v>10491.189999999999</v>
      </c>
      <c r="AE214" s="338">
        <f aca="true" t="shared" si="104" ref="AE214:AE283">AC214*100/P214</f>
        <v>56.286708333333344</v>
      </c>
    </row>
    <row r="215" spans="2:31" s="28" customFormat="1" ht="12.75">
      <c r="B215" s="33"/>
      <c r="C215" s="35"/>
      <c r="D215" s="41">
        <v>4350</v>
      </c>
      <c r="E215" s="42" t="s">
        <v>642</v>
      </c>
      <c r="F215" s="65">
        <v>1000</v>
      </c>
      <c r="G215" s="43">
        <v>1000</v>
      </c>
      <c r="H215" s="44"/>
      <c r="I215" s="44"/>
      <c r="J215" s="44">
        <v>600</v>
      </c>
      <c r="K215" s="44"/>
      <c r="L215" s="44"/>
      <c r="M215" s="44"/>
      <c r="N215" s="44"/>
      <c r="O215" s="44"/>
      <c r="P215" s="45">
        <f t="shared" si="101"/>
        <v>1600</v>
      </c>
      <c r="Q215" s="43"/>
      <c r="R215" s="43"/>
      <c r="S215" s="43"/>
      <c r="T215" s="43">
        <v>522.16</v>
      </c>
      <c r="U215" s="43"/>
      <c r="V215" s="43">
        <v>489</v>
      </c>
      <c r="W215" s="43"/>
      <c r="X215" s="43"/>
      <c r="Y215" s="43"/>
      <c r="Z215" s="43"/>
      <c r="AA215" s="43"/>
      <c r="AB215" s="43"/>
      <c r="AC215" s="46">
        <f t="shared" si="102"/>
        <v>1011.16</v>
      </c>
      <c r="AD215" s="43">
        <f t="shared" si="103"/>
        <v>588.84</v>
      </c>
      <c r="AE215" s="338">
        <f t="shared" si="104"/>
        <v>63.1975</v>
      </c>
    </row>
    <row r="216" spans="2:31" s="28" customFormat="1" ht="25.5">
      <c r="B216" s="33"/>
      <c r="C216" s="35"/>
      <c r="D216" s="41">
        <v>4360</v>
      </c>
      <c r="E216" s="42" t="s">
        <v>643</v>
      </c>
      <c r="F216" s="65">
        <v>400</v>
      </c>
      <c r="G216" s="43">
        <v>400</v>
      </c>
      <c r="H216" s="44"/>
      <c r="I216" s="44">
        <v>1000</v>
      </c>
      <c r="J216" s="44">
        <v>500</v>
      </c>
      <c r="K216" s="44"/>
      <c r="L216" s="44"/>
      <c r="M216" s="44"/>
      <c r="N216" s="44"/>
      <c r="O216" s="44"/>
      <c r="P216" s="45">
        <f t="shared" si="101"/>
        <v>1900</v>
      </c>
      <c r="Q216" s="43">
        <v>123.75</v>
      </c>
      <c r="R216" s="43">
        <v>165.9</v>
      </c>
      <c r="S216" s="43">
        <v>89.9</v>
      </c>
      <c r="T216" s="43">
        <v>106.74</v>
      </c>
      <c r="U216" s="43">
        <v>125.67</v>
      </c>
      <c r="V216" s="43">
        <v>387.14</v>
      </c>
      <c r="W216" s="43"/>
      <c r="X216" s="43"/>
      <c r="Y216" s="43"/>
      <c r="Z216" s="43"/>
      <c r="AA216" s="43"/>
      <c r="AB216" s="43"/>
      <c r="AC216" s="46">
        <f t="shared" si="102"/>
        <v>999.0999999999999</v>
      </c>
      <c r="AD216" s="43">
        <f>P216-AC216</f>
        <v>900.9000000000001</v>
      </c>
      <c r="AE216" s="338">
        <f>AC216*100/P216</f>
        <v>52.58421052631578</v>
      </c>
    </row>
    <row r="217" spans="2:31" s="28" customFormat="1" ht="25.5">
      <c r="B217" s="33"/>
      <c r="C217" s="35"/>
      <c r="D217" s="41">
        <v>4370</v>
      </c>
      <c r="E217" s="42" t="s">
        <v>644</v>
      </c>
      <c r="F217" s="65">
        <v>3600</v>
      </c>
      <c r="G217" s="43">
        <v>3600</v>
      </c>
      <c r="H217" s="44"/>
      <c r="I217" s="44"/>
      <c r="J217" s="44">
        <v>2000</v>
      </c>
      <c r="K217" s="44"/>
      <c r="L217" s="44"/>
      <c r="M217" s="44"/>
      <c r="N217" s="44"/>
      <c r="O217" s="44"/>
      <c r="P217" s="45">
        <f t="shared" si="101"/>
        <v>5600</v>
      </c>
      <c r="Q217" s="43">
        <v>216.32</v>
      </c>
      <c r="R217" s="43">
        <v>675.07</v>
      </c>
      <c r="S217" s="43">
        <v>641.07</v>
      </c>
      <c r="T217" s="43">
        <v>118.34</v>
      </c>
      <c r="U217" s="43">
        <v>688.2</v>
      </c>
      <c r="V217" s="43">
        <v>179</v>
      </c>
      <c r="W217" s="43"/>
      <c r="X217" s="43"/>
      <c r="Y217" s="43"/>
      <c r="Z217" s="43"/>
      <c r="AA217" s="43"/>
      <c r="AB217" s="43"/>
      <c r="AC217" s="46">
        <f t="shared" si="102"/>
        <v>2518</v>
      </c>
      <c r="AD217" s="43">
        <f t="shared" si="103"/>
        <v>3082</v>
      </c>
      <c r="AE217" s="338">
        <f t="shared" si="104"/>
        <v>44.964285714285715</v>
      </c>
    </row>
    <row r="218" spans="2:31" s="28" customFormat="1" ht="12.75">
      <c r="B218" s="33"/>
      <c r="C218" s="35"/>
      <c r="D218" s="41">
        <v>4410</v>
      </c>
      <c r="E218" s="42" t="s">
        <v>635</v>
      </c>
      <c r="F218" s="65">
        <v>3200</v>
      </c>
      <c r="G218" s="43">
        <v>3200</v>
      </c>
      <c r="H218" s="44"/>
      <c r="I218" s="44"/>
      <c r="J218" s="44">
        <v>2000</v>
      </c>
      <c r="K218" s="44"/>
      <c r="L218" s="44"/>
      <c r="M218" s="44"/>
      <c r="N218" s="44"/>
      <c r="O218" s="44"/>
      <c r="P218" s="45">
        <f t="shared" si="101"/>
        <v>5200</v>
      </c>
      <c r="Q218" s="43"/>
      <c r="R218" s="43">
        <v>1154.88</v>
      </c>
      <c r="S218" s="43">
        <v>-106.14</v>
      </c>
      <c r="T218" s="43">
        <v>521.82</v>
      </c>
      <c r="U218" s="43">
        <v>402.79</v>
      </c>
      <c r="V218" s="43">
        <v>484.66</v>
      </c>
      <c r="W218" s="43"/>
      <c r="X218" s="43"/>
      <c r="Y218" s="43"/>
      <c r="Z218" s="43"/>
      <c r="AA218" s="43"/>
      <c r="AB218" s="43"/>
      <c r="AC218" s="46">
        <f t="shared" si="102"/>
        <v>2458.0099999999998</v>
      </c>
      <c r="AD218" s="43">
        <f t="shared" si="103"/>
        <v>2741.9900000000002</v>
      </c>
      <c r="AE218" s="338">
        <f t="shared" si="104"/>
        <v>47.26942307692307</v>
      </c>
    </row>
    <row r="219" spans="2:31" s="28" customFormat="1" ht="12.75">
      <c r="B219" s="33"/>
      <c r="C219" s="35"/>
      <c r="D219" s="41">
        <v>4420</v>
      </c>
      <c r="E219" s="42" t="s">
        <v>615</v>
      </c>
      <c r="F219" s="65"/>
      <c r="G219" s="43"/>
      <c r="H219" s="44"/>
      <c r="I219" s="44">
        <v>3000</v>
      </c>
      <c r="J219" s="44"/>
      <c r="K219" s="44"/>
      <c r="L219" s="44"/>
      <c r="M219" s="44"/>
      <c r="N219" s="44"/>
      <c r="O219" s="44"/>
      <c r="P219" s="45">
        <f t="shared" si="101"/>
        <v>3000</v>
      </c>
      <c r="Q219" s="43"/>
      <c r="R219" s="43"/>
      <c r="S219" s="43"/>
      <c r="T219" s="43"/>
      <c r="U219" s="43">
        <v>1462.16</v>
      </c>
      <c r="V219" s="43"/>
      <c r="W219" s="43"/>
      <c r="X219" s="43"/>
      <c r="Y219" s="43"/>
      <c r="Z219" s="43"/>
      <c r="AA219" s="43"/>
      <c r="AB219" s="43"/>
      <c r="AC219" s="46">
        <f>SUM(Q219:AB219)</f>
        <v>1462.16</v>
      </c>
      <c r="AD219" s="43">
        <f>P219-AC219</f>
        <v>1537.84</v>
      </c>
      <c r="AE219" s="338">
        <f>AC219*100/P219</f>
        <v>48.73866666666667</v>
      </c>
    </row>
    <row r="220" spans="2:31" s="28" customFormat="1" ht="12.75">
      <c r="B220" s="33"/>
      <c r="C220" s="35"/>
      <c r="D220" s="41">
        <v>4430</v>
      </c>
      <c r="E220" s="42" t="s">
        <v>679</v>
      </c>
      <c r="F220" s="65">
        <v>7000</v>
      </c>
      <c r="G220" s="43">
        <v>7000</v>
      </c>
      <c r="H220" s="44"/>
      <c r="I220" s="44"/>
      <c r="J220" s="44"/>
      <c r="K220" s="44"/>
      <c r="L220" s="44"/>
      <c r="M220" s="44"/>
      <c r="N220" s="44"/>
      <c r="O220" s="44"/>
      <c r="P220" s="45">
        <f t="shared" si="101"/>
        <v>7000</v>
      </c>
      <c r="Q220" s="43">
        <v>847.25</v>
      </c>
      <c r="R220" s="43"/>
      <c r="S220" s="43"/>
      <c r="T220" s="43">
        <v>847.25</v>
      </c>
      <c r="U220" s="43"/>
      <c r="V220" s="43"/>
      <c r="W220" s="43"/>
      <c r="X220" s="43"/>
      <c r="Y220" s="43"/>
      <c r="Z220" s="43"/>
      <c r="AA220" s="43"/>
      <c r="AB220" s="43"/>
      <c r="AC220" s="46">
        <f t="shared" si="102"/>
        <v>1694.5</v>
      </c>
      <c r="AD220" s="43">
        <f t="shared" si="103"/>
        <v>5305.5</v>
      </c>
      <c r="AE220" s="338">
        <f t="shared" si="104"/>
        <v>24.207142857142856</v>
      </c>
    </row>
    <row r="221" spans="2:31" s="28" customFormat="1" ht="25.5">
      <c r="B221" s="33"/>
      <c r="C221" s="35"/>
      <c r="D221" s="41">
        <v>4440</v>
      </c>
      <c r="E221" s="42" t="s">
        <v>645</v>
      </c>
      <c r="F221" s="65">
        <v>65663</v>
      </c>
      <c r="G221" s="43">
        <v>65663</v>
      </c>
      <c r="H221" s="44">
        <v>4949</v>
      </c>
      <c r="I221" s="44"/>
      <c r="J221" s="44"/>
      <c r="K221" s="44"/>
      <c r="L221" s="44"/>
      <c r="M221" s="44"/>
      <c r="N221" s="44"/>
      <c r="O221" s="44"/>
      <c r="P221" s="45">
        <f t="shared" si="101"/>
        <v>70612</v>
      </c>
      <c r="Q221" s="43"/>
      <c r="R221" s="43"/>
      <c r="S221" s="43">
        <v>52959</v>
      </c>
      <c r="T221" s="43"/>
      <c r="U221" s="43"/>
      <c r="V221" s="43">
        <v>17653</v>
      </c>
      <c r="W221" s="43"/>
      <c r="X221" s="43"/>
      <c r="Y221" s="43"/>
      <c r="Z221" s="43"/>
      <c r="AA221" s="43"/>
      <c r="AB221" s="43"/>
      <c r="AC221" s="46">
        <f t="shared" si="102"/>
        <v>70612</v>
      </c>
      <c r="AD221" s="43">
        <f t="shared" si="103"/>
        <v>0</v>
      </c>
      <c r="AE221" s="338">
        <f t="shared" si="104"/>
        <v>100</v>
      </c>
    </row>
    <row r="222" spans="2:31" s="28" customFormat="1" ht="25.5">
      <c r="B222" s="33"/>
      <c r="C222" s="35"/>
      <c r="D222" s="41">
        <v>4740</v>
      </c>
      <c r="E222" s="42" t="s">
        <v>616</v>
      </c>
      <c r="F222" s="65">
        <v>3500</v>
      </c>
      <c r="G222" s="43">
        <v>3500</v>
      </c>
      <c r="H222" s="44"/>
      <c r="I222" s="44"/>
      <c r="J222" s="44"/>
      <c r="K222" s="44"/>
      <c r="L222" s="44"/>
      <c r="M222" s="44"/>
      <c r="N222" s="44"/>
      <c r="O222" s="44"/>
      <c r="P222" s="45">
        <f t="shared" si="101"/>
        <v>3500</v>
      </c>
      <c r="Q222" s="43">
        <v>84.2</v>
      </c>
      <c r="R222" s="43"/>
      <c r="S222" s="43">
        <v>227.4</v>
      </c>
      <c r="T222" s="43">
        <v>210.2</v>
      </c>
      <c r="U222" s="43">
        <v>66.08</v>
      </c>
      <c r="V222" s="43">
        <v>371.55</v>
      </c>
      <c r="W222" s="43"/>
      <c r="X222" s="43"/>
      <c r="Y222" s="43"/>
      <c r="Z222" s="43"/>
      <c r="AA222" s="43"/>
      <c r="AB222" s="43"/>
      <c r="AC222" s="46">
        <f>SUM(Q222:AB222)</f>
        <v>959.4300000000001</v>
      </c>
      <c r="AD222" s="43">
        <f>P222-AC222</f>
        <v>2540.5699999999997</v>
      </c>
      <c r="AE222" s="338">
        <f t="shared" si="104"/>
        <v>27.412285714285716</v>
      </c>
    </row>
    <row r="223" spans="2:31" s="28" customFormat="1" ht="25.5">
      <c r="B223" s="33"/>
      <c r="C223" s="35"/>
      <c r="D223" s="41">
        <v>4750</v>
      </c>
      <c r="E223" s="42" t="s">
        <v>617</v>
      </c>
      <c r="F223" s="65">
        <v>4500</v>
      </c>
      <c r="G223" s="43">
        <v>4500</v>
      </c>
      <c r="H223" s="44"/>
      <c r="I223" s="44"/>
      <c r="J223" s="44">
        <v>5000</v>
      </c>
      <c r="K223" s="44"/>
      <c r="L223" s="44"/>
      <c r="M223" s="44"/>
      <c r="N223" s="44"/>
      <c r="O223" s="44"/>
      <c r="P223" s="45">
        <f t="shared" si="101"/>
        <v>9500</v>
      </c>
      <c r="Q223" s="43"/>
      <c r="R223" s="43">
        <v>1291.06</v>
      </c>
      <c r="S223" s="43">
        <v>301</v>
      </c>
      <c r="T223" s="43">
        <v>973.9</v>
      </c>
      <c r="U223" s="43">
        <v>922.4</v>
      </c>
      <c r="V223" s="43">
        <v>243</v>
      </c>
      <c r="W223" s="43"/>
      <c r="X223" s="43"/>
      <c r="Y223" s="43"/>
      <c r="Z223" s="43"/>
      <c r="AA223" s="43"/>
      <c r="AB223" s="43"/>
      <c r="AC223" s="46">
        <f>SUM(Q223:AB223)</f>
        <v>3731.36</v>
      </c>
      <c r="AD223" s="43">
        <f>P223-AC223</f>
        <v>5768.639999999999</v>
      </c>
      <c r="AE223" s="338">
        <f t="shared" si="104"/>
        <v>39.27747368421053</v>
      </c>
    </row>
    <row r="224" spans="2:31" s="28" customFormat="1" ht="25.5">
      <c r="B224" s="33"/>
      <c r="C224" s="35"/>
      <c r="D224" s="41">
        <v>6050</v>
      </c>
      <c r="E224" s="42" t="s">
        <v>1001</v>
      </c>
      <c r="F224" s="65">
        <v>60000</v>
      </c>
      <c r="G224" s="43"/>
      <c r="H224" s="44">
        <v>25000</v>
      </c>
      <c r="I224" s="44"/>
      <c r="J224" s="44">
        <v>5000</v>
      </c>
      <c r="K224" s="44"/>
      <c r="L224" s="44"/>
      <c r="M224" s="44"/>
      <c r="N224" s="44"/>
      <c r="O224" s="44"/>
      <c r="P224" s="45">
        <f t="shared" si="101"/>
        <v>30000</v>
      </c>
      <c r="Q224" s="43"/>
      <c r="R224" s="43"/>
      <c r="S224" s="43"/>
      <c r="T224" s="43">
        <v>21066.72</v>
      </c>
      <c r="U224" s="43"/>
      <c r="V224" s="43"/>
      <c r="W224" s="43"/>
      <c r="X224" s="43"/>
      <c r="Y224" s="43"/>
      <c r="Z224" s="43"/>
      <c r="AA224" s="43"/>
      <c r="AB224" s="43"/>
      <c r="AC224" s="46">
        <f t="shared" si="102"/>
        <v>21066.72</v>
      </c>
      <c r="AD224" s="43">
        <f t="shared" si="103"/>
        <v>8933.279999999999</v>
      </c>
      <c r="AE224" s="338">
        <f t="shared" si="104"/>
        <v>70.2224</v>
      </c>
    </row>
    <row r="225" spans="2:31" s="28" customFormat="1" ht="25.5">
      <c r="B225" s="33"/>
      <c r="C225" s="35"/>
      <c r="D225" s="41">
        <v>6060</v>
      </c>
      <c r="E225" s="42" t="s">
        <v>573</v>
      </c>
      <c r="F225" s="65">
        <v>14000</v>
      </c>
      <c r="G225" s="43">
        <v>14000</v>
      </c>
      <c r="H225" s="44"/>
      <c r="I225" s="44"/>
      <c r="J225" s="65">
        <v>-5000</v>
      </c>
      <c r="K225" s="44"/>
      <c r="L225" s="44"/>
      <c r="M225" s="44"/>
      <c r="N225" s="44"/>
      <c r="O225" s="44"/>
      <c r="P225" s="45">
        <f t="shared" si="101"/>
        <v>9000</v>
      </c>
      <c r="Q225" s="43"/>
      <c r="R225" s="43">
        <v>2503.44</v>
      </c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6">
        <f t="shared" si="102"/>
        <v>2503.44</v>
      </c>
      <c r="AD225" s="43">
        <f>P225-AC225</f>
        <v>6496.5599999999995</v>
      </c>
      <c r="AE225" s="338">
        <f>AC225*100/P225</f>
        <v>27.816</v>
      </c>
    </row>
    <row r="226" spans="2:31" s="28" customFormat="1" ht="12.75">
      <c r="B226" s="33"/>
      <c r="C226" s="35">
        <v>80113</v>
      </c>
      <c r="D226" s="35"/>
      <c r="E226" s="36" t="s">
        <v>555</v>
      </c>
      <c r="F226" s="63">
        <f>SUM(F227:F234)</f>
        <v>376200</v>
      </c>
      <c r="G226" s="37">
        <f>SUM(G227:G234)</f>
        <v>374440</v>
      </c>
      <c r="H226" s="38">
        <f>SUM(H227:H234)</f>
        <v>0</v>
      </c>
      <c r="I226" s="38">
        <f aca="true" t="shared" si="105" ref="I226:O226">SUM(I227:I234)</f>
        <v>0</v>
      </c>
      <c r="J226" s="38">
        <f t="shared" si="105"/>
        <v>0</v>
      </c>
      <c r="K226" s="38">
        <f t="shared" si="105"/>
        <v>0</v>
      </c>
      <c r="L226" s="38">
        <f t="shared" si="105"/>
        <v>0</v>
      </c>
      <c r="M226" s="38">
        <f t="shared" si="105"/>
        <v>0</v>
      </c>
      <c r="N226" s="38">
        <f t="shared" si="105"/>
        <v>0</v>
      </c>
      <c r="O226" s="38">
        <f t="shared" si="105"/>
        <v>0</v>
      </c>
      <c r="P226" s="39">
        <f>SUM(P227:P234)</f>
        <v>374440</v>
      </c>
      <c r="Q226" s="37">
        <f>SUM(Q227:Q234)</f>
        <v>60639.3</v>
      </c>
      <c r="R226" s="37">
        <f aca="true" t="shared" si="106" ref="R226:AB226">SUM(R227:R234)</f>
        <v>37125.79</v>
      </c>
      <c r="S226" s="37">
        <f t="shared" si="106"/>
        <v>33078.42</v>
      </c>
      <c r="T226" s="37">
        <f t="shared" si="106"/>
        <v>35360.05</v>
      </c>
      <c r="U226" s="37">
        <f t="shared" si="106"/>
        <v>46261.63</v>
      </c>
      <c r="V226" s="37">
        <f t="shared" si="106"/>
        <v>64108.579999999994</v>
      </c>
      <c r="W226" s="37">
        <f t="shared" si="106"/>
        <v>0</v>
      </c>
      <c r="X226" s="37">
        <f t="shared" si="106"/>
        <v>0</v>
      </c>
      <c r="Y226" s="37">
        <f t="shared" si="106"/>
        <v>0</v>
      </c>
      <c r="Z226" s="37">
        <f t="shared" si="106"/>
        <v>0</v>
      </c>
      <c r="AA226" s="37">
        <f t="shared" si="106"/>
        <v>0</v>
      </c>
      <c r="AB226" s="37">
        <f t="shared" si="106"/>
        <v>0</v>
      </c>
      <c r="AC226" s="37">
        <f>SUM(AC227:AC234)</f>
        <v>276573.76999999996</v>
      </c>
      <c r="AD226" s="37">
        <f>SUM(AD227:AD234)</f>
        <v>97866.23000000003</v>
      </c>
      <c r="AE226" s="337">
        <f t="shared" si="104"/>
        <v>73.86330787309048</v>
      </c>
    </row>
    <row r="227" spans="2:31" s="28" customFormat="1" ht="25.5">
      <c r="B227" s="33"/>
      <c r="C227" s="35"/>
      <c r="D227" s="41">
        <v>3020</v>
      </c>
      <c r="E227" s="42" t="s">
        <v>637</v>
      </c>
      <c r="F227" s="65">
        <v>300</v>
      </c>
      <c r="G227" s="43">
        <v>300</v>
      </c>
      <c r="H227" s="44"/>
      <c r="I227" s="44"/>
      <c r="J227" s="44"/>
      <c r="K227" s="44"/>
      <c r="L227" s="44"/>
      <c r="M227" s="44"/>
      <c r="N227" s="44"/>
      <c r="O227" s="44"/>
      <c r="P227" s="45">
        <f aca="true" t="shared" si="107" ref="P227:P234">G227+H227+I227+J227+K227+L227+M227+N227+O227</f>
        <v>300</v>
      </c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6">
        <f aca="true" t="shared" si="108" ref="AC227:AC234">SUM(Q227:AB227)</f>
        <v>0</v>
      </c>
      <c r="AD227" s="43">
        <f aca="true" t="shared" si="109" ref="AD227:AD234">P227-AC227</f>
        <v>300</v>
      </c>
      <c r="AE227" s="338">
        <f t="shared" si="104"/>
        <v>0</v>
      </c>
    </row>
    <row r="228" spans="2:31" s="28" customFormat="1" ht="12.75">
      <c r="B228" s="33"/>
      <c r="C228" s="35"/>
      <c r="D228" s="41">
        <v>4010</v>
      </c>
      <c r="E228" s="42" t="s">
        <v>631</v>
      </c>
      <c r="F228" s="65">
        <v>32200</v>
      </c>
      <c r="G228" s="43">
        <v>31300</v>
      </c>
      <c r="H228" s="44"/>
      <c r="I228" s="44">
        <v>228</v>
      </c>
      <c r="J228" s="44"/>
      <c r="K228" s="44"/>
      <c r="L228" s="44"/>
      <c r="M228" s="44"/>
      <c r="N228" s="44"/>
      <c r="O228" s="44"/>
      <c r="P228" s="45">
        <f t="shared" si="107"/>
        <v>31528</v>
      </c>
      <c r="Q228" s="43">
        <v>2538.25</v>
      </c>
      <c r="R228" s="43">
        <v>2554.1</v>
      </c>
      <c r="S228" s="43">
        <v>2518.26</v>
      </c>
      <c r="T228" s="43">
        <v>2876.39</v>
      </c>
      <c r="U228" s="43">
        <v>2721.25</v>
      </c>
      <c r="V228" s="43">
        <v>2627.82</v>
      </c>
      <c r="W228" s="43"/>
      <c r="X228" s="43"/>
      <c r="Y228" s="43"/>
      <c r="Z228" s="43"/>
      <c r="AA228" s="43"/>
      <c r="AB228" s="43"/>
      <c r="AC228" s="46">
        <f t="shared" si="108"/>
        <v>15836.07</v>
      </c>
      <c r="AD228" s="43">
        <f t="shared" si="109"/>
        <v>15691.93</v>
      </c>
      <c r="AE228" s="338">
        <f t="shared" si="104"/>
        <v>50.228590459274294</v>
      </c>
    </row>
    <row r="229" spans="2:31" s="28" customFormat="1" ht="12.75">
      <c r="B229" s="33"/>
      <c r="C229" s="35"/>
      <c r="D229" s="41">
        <v>4040</v>
      </c>
      <c r="E229" s="42" t="s">
        <v>638</v>
      </c>
      <c r="F229" s="65">
        <v>2800</v>
      </c>
      <c r="G229" s="43">
        <v>2800</v>
      </c>
      <c r="H229" s="44"/>
      <c r="I229" s="65">
        <v>-228</v>
      </c>
      <c r="J229" s="44"/>
      <c r="K229" s="44"/>
      <c r="L229" s="44"/>
      <c r="M229" s="44"/>
      <c r="N229" s="44"/>
      <c r="O229" s="44"/>
      <c r="P229" s="45">
        <f t="shared" si="107"/>
        <v>2572</v>
      </c>
      <c r="Q229" s="43"/>
      <c r="R229" s="43"/>
      <c r="S229" s="43">
        <v>1768.87</v>
      </c>
      <c r="T229" s="43">
        <v>802.15</v>
      </c>
      <c r="U229" s="43"/>
      <c r="V229" s="43"/>
      <c r="W229" s="43"/>
      <c r="X229" s="43"/>
      <c r="Y229" s="43"/>
      <c r="Z229" s="43"/>
      <c r="AA229" s="43"/>
      <c r="AB229" s="43"/>
      <c r="AC229" s="46">
        <f t="shared" si="108"/>
        <v>2571.02</v>
      </c>
      <c r="AD229" s="43">
        <f t="shared" si="109"/>
        <v>0.9800000000000182</v>
      </c>
      <c r="AE229" s="338">
        <f t="shared" si="104"/>
        <v>99.96189735614308</v>
      </c>
    </row>
    <row r="230" spans="2:31" s="28" customFormat="1" ht="12.75">
      <c r="B230" s="33"/>
      <c r="C230" s="35"/>
      <c r="D230" s="41">
        <v>4110</v>
      </c>
      <c r="E230" s="42" t="s">
        <v>632</v>
      </c>
      <c r="F230" s="65">
        <v>6100</v>
      </c>
      <c r="G230" s="43">
        <v>5300</v>
      </c>
      <c r="H230" s="44"/>
      <c r="I230" s="44"/>
      <c r="J230" s="44"/>
      <c r="K230" s="44"/>
      <c r="L230" s="44"/>
      <c r="M230" s="44"/>
      <c r="N230" s="44"/>
      <c r="O230" s="44"/>
      <c r="P230" s="45">
        <f t="shared" si="107"/>
        <v>5300</v>
      </c>
      <c r="Q230" s="43">
        <v>384.66</v>
      </c>
      <c r="R230" s="43">
        <v>409.03</v>
      </c>
      <c r="S230" s="43">
        <v>347.98</v>
      </c>
      <c r="T230" s="43">
        <v>797.48</v>
      </c>
      <c r="U230" s="43">
        <v>449.13</v>
      </c>
      <c r="V230" s="43">
        <v>403.11</v>
      </c>
      <c r="W230" s="43"/>
      <c r="X230" s="43"/>
      <c r="Y230" s="43"/>
      <c r="Z230" s="43"/>
      <c r="AA230" s="43"/>
      <c r="AB230" s="43"/>
      <c r="AC230" s="46">
        <f t="shared" si="108"/>
        <v>2791.3900000000003</v>
      </c>
      <c r="AD230" s="43">
        <f t="shared" si="109"/>
        <v>2508.6099999999997</v>
      </c>
      <c r="AE230" s="338">
        <f t="shared" si="104"/>
        <v>52.66773584905661</v>
      </c>
    </row>
    <row r="231" spans="2:31" s="28" customFormat="1" ht="12.75">
      <c r="B231" s="33"/>
      <c r="C231" s="35"/>
      <c r="D231" s="41">
        <v>4120</v>
      </c>
      <c r="E231" s="42" t="s">
        <v>639</v>
      </c>
      <c r="F231" s="65">
        <v>900</v>
      </c>
      <c r="G231" s="43">
        <v>840</v>
      </c>
      <c r="H231" s="44"/>
      <c r="I231" s="44"/>
      <c r="J231" s="44"/>
      <c r="K231" s="44"/>
      <c r="L231" s="44"/>
      <c r="M231" s="44"/>
      <c r="N231" s="44"/>
      <c r="O231" s="44"/>
      <c r="P231" s="45">
        <f t="shared" si="107"/>
        <v>840</v>
      </c>
      <c r="Q231" s="43">
        <v>54.35</v>
      </c>
      <c r="R231" s="43">
        <v>64.38</v>
      </c>
      <c r="S231" s="43">
        <v>55.58</v>
      </c>
      <c r="T231" s="43">
        <v>127.37</v>
      </c>
      <c r="U231" s="43">
        <v>71.73</v>
      </c>
      <c r="V231" s="43">
        <v>64.38</v>
      </c>
      <c r="W231" s="43"/>
      <c r="X231" s="43"/>
      <c r="Y231" s="43"/>
      <c r="Z231" s="43"/>
      <c r="AA231" s="43"/>
      <c r="AB231" s="43"/>
      <c r="AC231" s="46">
        <f t="shared" si="108"/>
        <v>437.79</v>
      </c>
      <c r="AD231" s="43">
        <f t="shared" si="109"/>
        <v>402.21</v>
      </c>
      <c r="AE231" s="338">
        <f t="shared" si="104"/>
        <v>52.11785714285714</v>
      </c>
    </row>
    <row r="232" spans="2:31" s="28" customFormat="1" ht="12.75">
      <c r="B232" s="33"/>
      <c r="C232" s="35"/>
      <c r="D232" s="41">
        <v>4280</v>
      </c>
      <c r="E232" s="42" t="s">
        <v>641</v>
      </c>
      <c r="F232" s="65">
        <v>200</v>
      </c>
      <c r="G232" s="43">
        <v>200</v>
      </c>
      <c r="H232" s="44"/>
      <c r="I232" s="44"/>
      <c r="J232" s="44"/>
      <c r="K232" s="44"/>
      <c r="L232" s="44"/>
      <c r="M232" s="44"/>
      <c r="N232" s="44"/>
      <c r="O232" s="44"/>
      <c r="P232" s="45">
        <f t="shared" si="107"/>
        <v>200</v>
      </c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6">
        <f>SUM(Q232:AB232)</f>
        <v>0</v>
      </c>
      <c r="AD232" s="43">
        <f>P232-AC232</f>
        <v>200</v>
      </c>
      <c r="AE232" s="338">
        <f>AC232*100/P232</f>
        <v>0</v>
      </c>
    </row>
    <row r="233" spans="2:31" s="28" customFormat="1" ht="12.75">
      <c r="B233" s="33"/>
      <c r="C233" s="41"/>
      <c r="D233" s="41">
        <v>4300</v>
      </c>
      <c r="E233" s="42" t="s">
        <v>1000</v>
      </c>
      <c r="F233" s="65">
        <v>332000</v>
      </c>
      <c r="G233" s="43">
        <v>332000</v>
      </c>
      <c r="H233" s="44"/>
      <c r="I233" s="44"/>
      <c r="J233" s="44"/>
      <c r="K233" s="44"/>
      <c r="L233" s="44"/>
      <c r="M233" s="44"/>
      <c r="N233" s="44"/>
      <c r="O233" s="44"/>
      <c r="P233" s="45">
        <f t="shared" si="107"/>
        <v>332000</v>
      </c>
      <c r="Q233" s="43">
        <v>57662.04</v>
      </c>
      <c r="R233" s="43">
        <v>32398.28</v>
      </c>
      <c r="S233" s="43">
        <v>28387.73</v>
      </c>
      <c r="T233" s="43">
        <v>30756.66</v>
      </c>
      <c r="U233" s="43">
        <v>43019.52</v>
      </c>
      <c r="V233" s="43">
        <v>61013.27</v>
      </c>
      <c r="W233" s="43"/>
      <c r="X233" s="43"/>
      <c r="Y233" s="43"/>
      <c r="Z233" s="43"/>
      <c r="AA233" s="43"/>
      <c r="AB233" s="43"/>
      <c r="AC233" s="46">
        <f t="shared" si="108"/>
        <v>253237.49999999997</v>
      </c>
      <c r="AD233" s="43">
        <f t="shared" si="109"/>
        <v>78762.50000000003</v>
      </c>
      <c r="AE233" s="338">
        <f t="shared" si="104"/>
        <v>76.27635542168673</v>
      </c>
    </row>
    <row r="234" spans="2:31" s="28" customFormat="1" ht="25.5">
      <c r="B234" s="33"/>
      <c r="C234" s="41"/>
      <c r="D234" s="41">
        <v>4440</v>
      </c>
      <c r="E234" s="42" t="s">
        <v>645</v>
      </c>
      <c r="F234" s="65">
        <v>1700</v>
      </c>
      <c r="G234" s="43">
        <v>1700</v>
      </c>
      <c r="H234" s="44"/>
      <c r="I234" s="44"/>
      <c r="J234" s="44"/>
      <c r="K234" s="44"/>
      <c r="L234" s="44"/>
      <c r="M234" s="44"/>
      <c r="N234" s="44"/>
      <c r="O234" s="44"/>
      <c r="P234" s="45">
        <f t="shared" si="107"/>
        <v>1700</v>
      </c>
      <c r="Q234" s="43"/>
      <c r="R234" s="43">
        <v>1700</v>
      </c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6">
        <f t="shared" si="108"/>
        <v>1700</v>
      </c>
      <c r="AD234" s="43">
        <f t="shared" si="109"/>
        <v>0</v>
      </c>
      <c r="AE234" s="338">
        <f t="shared" si="104"/>
        <v>100</v>
      </c>
    </row>
    <row r="235" spans="2:31" s="28" customFormat="1" ht="12.75">
      <c r="B235" s="33"/>
      <c r="C235" s="35">
        <v>80114</v>
      </c>
      <c r="D235" s="35"/>
      <c r="E235" s="36" t="s">
        <v>682</v>
      </c>
      <c r="F235" s="63">
        <f>SUM(F236:F249)</f>
        <v>197910</v>
      </c>
      <c r="G235" s="37">
        <f>SUM(G236:G249)</f>
        <v>193750</v>
      </c>
      <c r="H235" s="38">
        <f>SUM(H236:H249)</f>
        <v>20000</v>
      </c>
      <c r="I235" s="38">
        <f aca="true" t="shared" si="110" ref="I235:O235">SUM(I236:I249)</f>
        <v>0</v>
      </c>
      <c r="J235" s="38">
        <f t="shared" si="110"/>
        <v>0</v>
      </c>
      <c r="K235" s="38">
        <f t="shared" si="110"/>
        <v>0</v>
      </c>
      <c r="L235" s="38">
        <f t="shared" si="110"/>
        <v>0</v>
      </c>
      <c r="M235" s="38">
        <f t="shared" si="110"/>
        <v>0</v>
      </c>
      <c r="N235" s="38">
        <f t="shared" si="110"/>
        <v>0</v>
      </c>
      <c r="O235" s="38">
        <f t="shared" si="110"/>
        <v>0</v>
      </c>
      <c r="P235" s="39">
        <f>SUM(P236:P249)</f>
        <v>213750</v>
      </c>
      <c r="Q235" s="37">
        <f>SUM(Q236:Q249)</f>
        <v>18236.629999999997</v>
      </c>
      <c r="R235" s="37">
        <f aca="true" t="shared" si="111" ref="R235:AB235">SUM(R236:R249)</f>
        <v>18511.67</v>
      </c>
      <c r="S235" s="37">
        <f t="shared" si="111"/>
        <v>25899.14</v>
      </c>
      <c r="T235" s="37">
        <f t="shared" si="111"/>
        <v>21284.230000000003</v>
      </c>
      <c r="U235" s="37">
        <f t="shared" si="111"/>
        <v>20744.25</v>
      </c>
      <c r="V235" s="37">
        <f t="shared" si="111"/>
        <v>15940.539999999995</v>
      </c>
      <c r="W235" s="37">
        <f t="shared" si="111"/>
        <v>0</v>
      </c>
      <c r="X235" s="37">
        <f t="shared" si="111"/>
        <v>0</v>
      </c>
      <c r="Y235" s="37">
        <f t="shared" si="111"/>
        <v>0</v>
      </c>
      <c r="Z235" s="37">
        <f t="shared" si="111"/>
        <v>0</v>
      </c>
      <c r="AA235" s="37">
        <f t="shared" si="111"/>
        <v>0</v>
      </c>
      <c r="AB235" s="37">
        <f t="shared" si="111"/>
        <v>0</v>
      </c>
      <c r="AC235" s="37">
        <f>SUM(AC236:AC249)</f>
        <v>120616.46</v>
      </c>
      <c r="AD235" s="37">
        <f>SUM(AD236:AD249)</f>
        <v>93133.54</v>
      </c>
      <c r="AE235" s="337">
        <f t="shared" si="104"/>
        <v>56.42875321637427</v>
      </c>
    </row>
    <row r="236" spans="2:31" s="28" customFormat="1" ht="25.5">
      <c r="B236" s="33"/>
      <c r="C236" s="41"/>
      <c r="D236" s="41">
        <v>3020</v>
      </c>
      <c r="E236" s="42" t="s">
        <v>637</v>
      </c>
      <c r="F236" s="65">
        <v>500</v>
      </c>
      <c r="G236" s="43">
        <v>500</v>
      </c>
      <c r="H236" s="44"/>
      <c r="I236" s="44"/>
      <c r="J236" s="44"/>
      <c r="K236" s="44"/>
      <c r="L236" s="44"/>
      <c r="M236" s="44"/>
      <c r="N236" s="44"/>
      <c r="O236" s="44"/>
      <c r="P236" s="45">
        <f aca="true" t="shared" si="112" ref="P236:P249">G236+H236+I236+J236+K236+L236+M236+N236+O236</f>
        <v>500</v>
      </c>
      <c r="Q236" s="43"/>
      <c r="R236" s="43">
        <v>101.97</v>
      </c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6">
        <f aca="true" t="shared" si="113" ref="AC236:AC246">SUM(Q236:AB236)</f>
        <v>101.97</v>
      </c>
      <c r="AD236" s="43">
        <f aca="true" t="shared" si="114" ref="AD236:AD246">P236-AC236</f>
        <v>398.03</v>
      </c>
      <c r="AE236" s="338">
        <f t="shared" si="104"/>
        <v>20.394</v>
      </c>
    </row>
    <row r="237" spans="2:31" s="28" customFormat="1" ht="12.75">
      <c r="B237" s="33"/>
      <c r="C237" s="41"/>
      <c r="D237" s="41">
        <v>4010</v>
      </c>
      <c r="E237" s="42" t="s">
        <v>631</v>
      </c>
      <c r="F237" s="65">
        <v>127800</v>
      </c>
      <c r="G237" s="43">
        <v>126600</v>
      </c>
      <c r="H237" s="44">
        <v>20000</v>
      </c>
      <c r="I237" s="44"/>
      <c r="J237" s="44"/>
      <c r="K237" s="44"/>
      <c r="L237" s="44"/>
      <c r="M237" s="44"/>
      <c r="N237" s="44"/>
      <c r="O237" s="44"/>
      <c r="P237" s="45">
        <f t="shared" si="112"/>
        <v>146600</v>
      </c>
      <c r="Q237" s="43">
        <v>9963.4</v>
      </c>
      <c r="R237" s="43">
        <v>11650.4</v>
      </c>
      <c r="S237" s="43">
        <v>12999.28</v>
      </c>
      <c r="T237" s="43">
        <v>13212.01</v>
      </c>
      <c r="U237" s="43">
        <v>13182.97</v>
      </c>
      <c r="V237" s="43">
        <v>10671.64</v>
      </c>
      <c r="W237" s="43"/>
      <c r="X237" s="43"/>
      <c r="Y237" s="43"/>
      <c r="Z237" s="43"/>
      <c r="AA237" s="43"/>
      <c r="AB237" s="43"/>
      <c r="AC237" s="46">
        <f t="shared" si="113"/>
        <v>71679.70000000001</v>
      </c>
      <c r="AD237" s="43">
        <f t="shared" si="114"/>
        <v>74920.29999999999</v>
      </c>
      <c r="AE237" s="338">
        <f t="shared" si="104"/>
        <v>48.894747612551164</v>
      </c>
    </row>
    <row r="238" spans="2:31" s="28" customFormat="1" ht="12.75">
      <c r="B238" s="33"/>
      <c r="C238" s="41"/>
      <c r="D238" s="41">
        <v>4040</v>
      </c>
      <c r="E238" s="42" t="s">
        <v>638</v>
      </c>
      <c r="F238" s="65">
        <v>9950</v>
      </c>
      <c r="G238" s="43">
        <v>9950</v>
      </c>
      <c r="H238" s="44"/>
      <c r="I238" s="65">
        <v>-666</v>
      </c>
      <c r="J238" s="44"/>
      <c r="K238" s="44"/>
      <c r="L238" s="44"/>
      <c r="M238" s="44"/>
      <c r="N238" s="44"/>
      <c r="O238" s="44"/>
      <c r="P238" s="45">
        <f t="shared" si="112"/>
        <v>9284</v>
      </c>
      <c r="Q238" s="43"/>
      <c r="R238" s="43"/>
      <c r="S238" s="43">
        <v>7659.44</v>
      </c>
      <c r="T238" s="43">
        <v>1623.57</v>
      </c>
      <c r="U238" s="43"/>
      <c r="V238" s="43"/>
      <c r="W238" s="43"/>
      <c r="X238" s="43"/>
      <c r="Y238" s="43"/>
      <c r="Z238" s="43"/>
      <c r="AA238" s="43"/>
      <c r="AB238" s="43"/>
      <c r="AC238" s="46">
        <f t="shared" si="113"/>
        <v>9283.01</v>
      </c>
      <c r="AD238" s="43">
        <f t="shared" si="114"/>
        <v>0.9899999999997817</v>
      </c>
      <c r="AE238" s="338">
        <f t="shared" si="104"/>
        <v>99.989336492891</v>
      </c>
    </row>
    <row r="239" spans="2:31" s="28" customFormat="1" ht="12.75">
      <c r="B239" s="33"/>
      <c r="C239" s="41"/>
      <c r="D239" s="41">
        <v>4110</v>
      </c>
      <c r="E239" s="42" t="s">
        <v>632</v>
      </c>
      <c r="F239" s="65">
        <v>23880</v>
      </c>
      <c r="G239" s="43">
        <v>20950</v>
      </c>
      <c r="H239" s="44"/>
      <c r="I239" s="44"/>
      <c r="J239" s="44"/>
      <c r="K239" s="44"/>
      <c r="L239" s="44"/>
      <c r="M239" s="44"/>
      <c r="N239" s="44"/>
      <c r="O239" s="44"/>
      <c r="P239" s="45">
        <f t="shared" si="112"/>
        <v>20950</v>
      </c>
      <c r="Q239" s="43">
        <v>1699.67</v>
      </c>
      <c r="R239" s="43">
        <v>1503.63</v>
      </c>
      <c r="S239" s="43">
        <v>1829.3</v>
      </c>
      <c r="T239" s="43">
        <v>3768.26</v>
      </c>
      <c r="U239" s="43">
        <v>1987.92</v>
      </c>
      <c r="V239" s="43">
        <v>3672.46</v>
      </c>
      <c r="W239" s="43"/>
      <c r="X239" s="43"/>
      <c r="Y239" s="43"/>
      <c r="Z239" s="43"/>
      <c r="AA239" s="43"/>
      <c r="AB239" s="43"/>
      <c r="AC239" s="46">
        <f t="shared" si="113"/>
        <v>14461.240000000002</v>
      </c>
      <c r="AD239" s="43">
        <f t="shared" si="114"/>
        <v>6488.759999999998</v>
      </c>
      <c r="AE239" s="338">
        <f t="shared" si="104"/>
        <v>69.02739856801911</v>
      </c>
    </row>
    <row r="240" spans="2:31" s="28" customFormat="1" ht="12.75">
      <c r="B240" s="33"/>
      <c r="C240" s="41"/>
      <c r="D240" s="41">
        <v>4120</v>
      </c>
      <c r="E240" s="42" t="s">
        <v>639</v>
      </c>
      <c r="F240" s="65">
        <v>3380</v>
      </c>
      <c r="G240" s="43">
        <v>3350</v>
      </c>
      <c r="H240" s="44"/>
      <c r="I240" s="44"/>
      <c r="J240" s="44"/>
      <c r="K240" s="44"/>
      <c r="L240" s="44"/>
      <c r="M240" s="44"/>
      <c r="N240" s="44"/>
      <c r="O240" s="44"/>
      <c r="P240" s="45">
        <f t="shared" si="112"/>
        <v>3350</v>
      </c>
      <c r="Q240" s="43">
        <v>240.15</v>
      </c>
      <c r="R240" s="43">
        <v>240.15</v>
      </c>
      <c r="S240" s="43">
        <v>292.16</v>
      </c>
      <c r="T240" s="43">
        <v>601.83</v>
      </c>
      <c r="U240" s="43">
        <v>317.5</v>
      </c>
      <c r="V240" s="43">
        <v>234.39</v>
      </c>
      <c r="W240" s="43"/>
      <c r="X240" s="43"/>
      <c r="Y240" s="43"/>
      <c r="Z240" s="43"/>
      <c r="AA240" s="43"/>
      <c r="AB240" s="43"/>
      <c r="AC240" s="46">
        <f t="shared" si="113"/>
        <v>1926.1799999999998</v>
      </c>
      <c r="AD240" s="43">
        <f t="shared" si="114"/>
        <v>1423.8200000000002</v>
      </c>
      <c r="AE240" s="338">
        <f t="shared" si="104"/>
        <v>57.497910447761186</v>
      </c>
    </row>
    <row r="241" spans="2:31" s="28" customFormat="1" ht="12.75">
      <c r="B241" s="33"/>
      <c r="C241" s="41"/>
      <c r="D241" s="41">
        <v>4210</v>
      </c>
      <c r="E241" s="42" t="s">
        <v>998</v>
      </c>
      <c r="F241" s="65">
        <v>7000</v>
      </c>
      <c r="G241" s="43">
        <v>7000</v>
      </c>
      <c r="H241" s="65">
        <v>-1000</v>
      </c>
      <c r="I241" s="44"/>
      <c r="J241" s="65">
        <v>-2000</v>
      </c>
      <c r="K241" s="44"/>
      <c r="L241" s="44"/>
      <c r="M241" s="44"/>
      <c r="N241" s="44"/>
      <c r="O241" s="44"/>
      <c r="P241" s="45">
        <f t="shared" si="112"/>
        <v>4000</v>
      </c>
      <c r="Q241" s="43">
        <v>504.95</v>
      </c>
      <c r="R241" s="43">
        <v>719.47</v>
      </c>
      <c r="S241" s="43">
        <v>310.64</v>
      </c>
      <c r="T241" s="43">
        <v>56.58</v>
      </c>
      <c r="U241" s="43">
        <v>958.45</v>
      </c>
      <c r="V241" s="43">
        <v>15.58</v>
      </c>
      <c r="W241" s="43"/>
      <c r="X241" s="43"/>
      <c r="Y241" s="43"/>
      <c r="Z241" s="43"/>
      <c r="AA241" s="43"/>
      <c r="AB241" s="43"/>
      <c r="AC241" s="46">
        <f t="shared" si="113"/>
        <v>2565.67</v>
      </c>
      <c r="AD241" s="43">
        <f t="shared" si="114"/>
        <v>1434.33</v>
      </c>
      <c r="AE241" s="338">
        <f t="shared" si="104"/>
        <v>64.14175</v>
      </c>
    </row>
    <row r="242" spans="2:31" s="28" customFormat="1" ht="12.75">
      <c r="B242" s="33"/>
      <c r="C242" s="41"/>
      <c r="D242" s="41">
        <v>4270</v>
      </c>
      <c r="E242" s="42" t="s">
        <v>999</v>
      </c>
      <c r="F242" s="65">
        <v>3000</v>
      </c>
      <c r="G242" s="43">
        <v>3000</v>
      </c>
      <c r="H242" s="44"/>
      <c r="I242" s="44"/>
      <c r="J242" s="44">
        <v>3500</v>
      </c>
      <c r="K242" s="44"/>
      <c r="L242" s="44"/>
      <c r="M242" s="44"/>
      <c r="N242" s="44"/>
      <c r="O242" s="44"/>
      <c r="P242" s="45">
        <f t="shared" si="112"/>
        <v>6500</v>
      </c>
      <c r="Q242" s="43">
        <v>610</v>
      </c>
      <c r="R242" s="43"/>
      <c r="S242" s="43"/>
      <c r="T242" s="43"/>
      <c r="U242" s="43">
        <v>2379</v>
      </c>
      <c r="V242" s="43"/>
      <c r="W242" s="43"/>
      <c r="X242" s="43"/>
      <c r="Y242" s="43"/>
      <c r="Z242" s="43"/>
      <c r="AA242" s="43"/>
      <c r="AB242" s="43"/>
      <c r="AC242" s="46">
        <f t="shared" si="113"/>
        <v>2989</v>
      </c>
      <c r="AD242" s="43">
        <f t="shared" si="114"/>
        <v>3511</v>
      </c>
      <c r="AE242" s="338">
        <f t="shared" si="104"/>
        <v>45.98461538461538</v>
      </c>
    </row>
    <row r="243" spans="2:31" s="28" customFormat="1" ht="12.75">
      <c r="B243" s="33"/>
      <c r="C243" s="41"/>
      <c r="D243" s="41">
        <v>4280</v>
      </c>
      <c r="E243" s="42" t="s">
        <v>641</v>
      </c>
      <c r="F243" s="65">
        <v>300</v>
      </c>
      <c r="G243" s="43">
        <v>300</v>
      </c>
      <c r="H243" s="44"/>
      <c r="I243" s="44"/>
      <c r="J243" s="44"/>
      <c r="K243" s="44"/>
      <c r="L243" s="44"/>
      <c r="M243" s="44"/>
      <c r="N243" s="44"/>
      <c r="O243" s="44"/>
      <c r="P243" s="45">
        <f t="shared" si="112"/>
        <v>300</v>
      </c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6">
        <f>SUM(Q243:AB243)</f>
        <v>0</v>
      </c>
      <c r="AD243" s="43">
        <f>P243-AC243</f>
        <v>300</v>
      </c>
      <c r="AE243" s="338">
        <f>AC243*100/P243</f>
        <v>0</v>
      </c>
    </row>
    <row r="244" spans="2:31" s="28" customFormat="1" ht="12.75">
      <c r="B244" s="33"/>
      <c r="C244" s="41"/>
      <c r="D244" s="41">
        <v>4300</v>
      </c>
      <c r="E244" s="42" t="s">
        <v>1000</v>
      </c>
      <c r="F244" s="65">
        <v>10000</v>
      </c>
      <c r="G244" s="43">
        <v>10000</v>
      </c>
      <c r="H244" s="65">
        <v>-1500</v>
      </c>
      <c r="I244" s="44"/>
      <c r="J244" s="44"/>
      <c r="K244" s="44"/>
      <c r="L244" s="44"/>
      <c r="M244" s="44"/>
      <c r="N244" s="44"/>
      <c r="O244" s="44"/>
      <c r="P244" s="45">
        <f t="shared" si="112"/>
        <v>8500</v>
      </c>
      <c r="Q244" s="43">
        <v>314.06</v>
      </c>
      <c r="R244" s="43">
        <v>649.15</v>
      </c>
      <c r="S244" s="43">
        <v>1792.85</v>
      </c>
      <c r="T244" s="43">
        <v>1307.96</v>
      </c>
      <c r="U244" s="43">
        <v>1512.6</v>
      </c>
      <c r="V244" s="43">
        <v>346.63</v>
      </c>
      <c r="W244" s="43"/>
      <c r="X244" s="43"/>
      <c r="Y244" s="43"/>
      <c r="Z244" s="43"/>
      <c r="AA244" s="43"/>
      <c r="AB244" s="43"/>
      <c r="AC244" s="46">
        <f t="shared" si="113"/>
        <v>5923.25</v>
      </c>
      <c r="AD244" s="43">
        <f t="shared" si="114"/>
        <v>2576.75</v>
      </c>
      <c r="AE244" s="338">
        <f t="shared" si="104"/>
        <v>69.68529411764706</v>
      </c>
    </row>
    <row r="245" spans="2:31" s="28" customFormat="1" ht="12.75">
      <c r="B245" s="33"/>
      <c r="C245" s="41"/>
      <c r="D245" s="41">
        <v>4410</v>
      </c>
      <c r="E245" s="42" t="s">
        <v>635</v>
      </c>
      <c r="F245" s="65">
        <v>300</v>
      </c>
      <c r="G245" s="43">
        <v>300</v>
      </c>
      <c r="H245" s="44">
        <v>1500</v>
      </c>
      <c r="I245" s="44">
        <v>66</v>
      </c>
      <c r="J245" s="44"/>
      <c r="K245" s="44"/>
      <c r="L245" s="44"/>
      <c r="M245" s="44"/>
      <c r="N245" s="44"/>
      <c r="O245" s="44"/>
      <c r="P245" s="45">
        <f t="shared" si="112"/>
        <v>1866</v>
      </c>
      <c r="Q245" s="43"/>
      <c r="R245" s="43">
        <v>346.9</v>
      </c>
      <c r="S245" s="43">
        <v>313.06</v>
      </c>
      <c r="T245" s="43">
        <v>224.65</v>
      </c>
      <c r="U245" s="43">
        <v>117.56</v>
      </c>
      <c r="V245" s="43">
        <v>183.96</v>
      </c>
      <c r="W245" s="43"/>
      <c r="X245" s="43"/>
      <c r="Y245" s="43"/>
      <c r="Z245" s="43"/>
      <c r="AA245" s="43"/>
      <c r="AB245" s="43"/>
      <c r="AC245" s="46">
        <f t="shared" si="113"/>
        <v>1186.13</v>
      </c>
      <c r="AD245" s="43">
        <f t="shared" si="114"/>
        <v>679.8699999999999</v>
      </c>
      <c r="AE245" s="338">
        <f t="shared" si="104"/>
        <v>63.56538049303323</v>
      </c>
    </row>
    <row r="246" spans="2:31" s="28" customFormat="1" ht="25.5">
      <c r="B246" s="33"/>
      <c r="C246" s="41"/>
      <c r="D246" s="41">
        <v>4440</v>
      </c>
      <c r="E246" s="42" t="s">
        <v>645</v>
      </c>
      <c r="F246" s="65">
        <v>3300</v>
      </c>
      <c r="G246" s="43">
        <v>3300</v>
      </c>
      <c r="H246" s="44"/>
      <c r="I246" s="44"/>
      <c r="J246" s="44"/>
      <c r="K246" s="44"/>
      <c r="L246" s="44"/>
      <c r="M246" s="44"/>
      <c r="N246" s="44"/>
      <c r="O246" s="44"/>
      <c r="P246" s="45">
        <f t="shared" si="112"/>
        <v>3300</v>
      </c>
      <c r="Q246" s="43"/>
      <c r="R246" s="43">
        <v>3300</v>
      </c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6">
        <f t="shared" si="113"/>
        <v>3300</v>
      </c>
      <c r="AD246" s="43">
        <f t="shared" si="114"/>
        <v>0</v>
      </c>
      <c r="AE246" s="338">
        <f t="shared" si="104"/>
        <v>100</v>
      </c>
    </row>
    <row r="247" spans="2:31" s="28" customFormat="1" ht="25.5">
      <c r="B247" s="33"/>
      <c r="C247" s="41"/>
      <c r="D247" s="41">
        <v>4740</v>
      </c>
      <c r="E247" s="42" t="s">
        <v>616</v>
      </c>
      <c r="F247" s="65">
        <v>500</v>
      </c>
      <c r="G247" s="43">
        <v>500</v>
      </c>
      <c r="H247" s="44"/>
      <c r="I247" s="44"/>
      <c r="J247" s="44"/>
      <c r="K247" s="44"/>
      <c r="L247" s="44"/>
      <c r="M247" s="44"/>
      <c r="N247" s="44"/>
      <c r="O247" s="44"/>
      <c r="P247" s="45">
        <f t="shared" si="112"/>
        <v>500</v>
      </c>
      <c r="Q247" s="43"/>
      <c r="R247" s="43"/>
      <c r="S247" s="43"/>
      <c r="T247" s="43"/>
      <c r="U247" s="43">
        <v>44.25</v>
      </c>
      <c r="V247" s="43"/>
      <c r="W247" s="43"/>
      <c r="X247" s="43"/>
      <c r="Y247" s="43"/>
      <c r="Z247" s="43"/>
      <c r="AA247" s="43"/>
      <c r="AB247" s="43"/>
      <c r="AC247" s="46">
        <f>SUM(Q247:AB247)</f>
        <v>44.25</v>
      </c>
      <c r="AD247" s="43">
        <f>P247-AC247</f>
        <v>455.75</v>
      </c>
      <c r="AE247" s="338">
        <f>AC247*100/P247</f>
        <v>8.85</v>
      </c>
    </row>
    <row r="248" spans="2:31" s="28" customFormat="1" ht="25.5">
      <c r="B248" s="33"/>
      <c r="C248" s="41"/>
      <c r="D248" s="41">
        <v>4750</v>
      </c>
      <c r="E248" s="42" t="s">
        <v>617</v>
      </c>
      <c r="F248" s="65"/>
      <c r="G248" s="43"/>
      <c r="H248" s="44">
        <v>1000</v>
      </c>
      <c r="I248" s="44">
        <v>600</v>
      </c>
      <c r="J248" s="44">
        <v>1500</v>
      </c>
      <c r="K248" s="44"/>
      <c r="L248" s="44"/>
      <c r="M248" s="44"/>
      <c r="N248" s="44"/>
      <c r="O248" s="44"/>
      <c r="P248" s="45">
        <f t="shared" si="112"/>
        <v>3100</v>
      </c>
      <c r="Q248" s="43"/>
      <c r="R248" s="43"/>
      <c r="S248" s="43">
        <v>702.41</v>
      </c>
      <c r="T248" s="43">
        <v>489.37</v>
      </c>
      <c r="U248" s="43">
        <v>244</v>
      </c>
      <c r="V248" s="43">
        <v>815.88</v>
      </c>
      <c r="W248" s="43"/>
      <c r="X248" s="43"/>
      <c r="Y248" s="43"/>
      <c r="Z248" s="43"/>
      <c r="AA248" s="43"/>
      <c r="AB248" s="43"/>
      <c r="AC248" s="46">
        <f>SUM(Q248:AB248)</f>
        <v>2251.66</v>
      </c>
      <c r="AD248" s="43">
        <f>P248-AC248</f>
        <v>848.3400000000001</v>
      </c>
      <c r="AE248" s="338">
        <f>AC248*100/P248</f>
        <v>72.6341935483871</v>
      </c>
    </row>
    <row r="249" spans="2:31" s="28" customFormat="1" ht="25.5">
      <c r="B249" s="33"/>
      <c r="C249" s="41"/>
      <c r="D249" s="41">
        <v>6060</v>
      </c>
      <c r="E249" s="42" t="s">
        <v>573</v>
      </c>
      <c r="F249" s="65">
        <v>8000</v>
      </c>
      <c r="G249" s="43">
        <v>8000</v>
      </c>
      <c r="H249" s="44"/>
      <c r="I249" s="44"/>
      <c r="J249" s="65">
        <v>-3000</v>
      </c>
      <c r="K249" s="44"/>
      <c r="L249" s="44"/>
      <c r="M249" s="44"/>
      <c r="N249" s="44"/>
      <c r="O249" s="44"/>
      <c r="P249" s="45">
        <f t="shared" si="112"/>
        <v>5000</v>
      </c>
      <c r="Q249" s="43">
        <v>4904.4</v>
      </c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6">
        <f>SUM(Q249:AB249)</f>
        <v>4904.4</v>
      </c>
      <c r="AD249" s="43">
        <f>P249-AC249</f>
        <v>95.60000000000036</v>
      </c>
      <c r="AE249" s="338">
        <f>AC249*100/P249</f>
        <v>98.088</v>
      </c>
    </row>
    <row r="250" spans="2:31" s="28" customFormat="1" ht="12.75">
      <c r="B250" s="33"/>
      <c r="C250" s="35">
        <v>80146</v>
      </c>
      <c r="D250" s="35"/>
      <c r="E250" s="36" t="s">
        <v>668</v>
      </c>
      <c r="F250" s="63">
        <f>F251</f>
        <v>26330</v>
      </c>
      <c r="G250" s="37">
        <f>SUM(G251:G252)</f>
        <v>25430</v>
      </c>
      <c r="H250" s="38">
        <f>SUM(H251:H252)</f>
        <v>2000</v>
      </c>
      <c r="I250" s="38">
        <f aca="true" t="shared" si="115" ref="I250:O250">I251</f>
        <v>0</v>
      </c>
      <c r="J250" s="38">
        <f t="shared" si="115"/>
        <v>0</v>
      </c>
      <c r="K250" s="38">
        <f t="shared" si="115"/>
        <v>0</v>
      </c>
      <c r="L250" s="38">
        <f t="shared" si="115"/>
        <v>0</v>
      </c>
      <c r="M250" s="38">
        <f t="shared" si="115"/>
        <v>0</v>
      </c>
      <c r="N250" s="38">
        <f t="shared" si="115"/>
        <v>0</v>
      </c>
      <c r="O250" s="38">
        <f t="shared" si="115"/>
        <v>0</v>
      </c>
      <c r="P250" s="39">
        <f>SUM(P251:P252)</f>
        <v>27430</v>
      </c>
      <c r="Q250" s="37">
        <f>Q251</f>
        <v>1738</v>
      </c>
      <c r="R250" s="37">
        <f aca="true" t="shared" si="116" ref="R250:AB250">R251</f>
        <v>1444</v>
      </c>
      <c r="S250" s="37">
        <f>SUM(S251:S252)</f>
        <v>6207.91</v>
      </c>
      <c r="T250" s="37">
        <f>SUM(T251:T252)</f>
        <v>3162.7799999999997</v>
      </c>
      <c r="U250" s="37">
        <f>SUM(U251:U252)</f>
        <v>527.4</v>
      </c>
      <c r="V250" s="37">
        <f t="shared" si="116"/>
        <v>576</v>
      </c>
      <c r="W250" s="37">
        <f t="shared" si="116"/>
        <v>0</v>
      </c>
      <c r="X250" s="37">
        <f t="shared" si="116"/>
        <v>0</v>
      </c>
      <c r="Y250" s="37">
        <f t="shared" si="116"/>
        <v>0</v>
      </c>
      <c r="Z250" s="37">
        <f t="shared" si="116"/>
        <v>0</v>
      </c>
      <c r="AA250" s="37">
        <f t="shared" si="116"/>
        <v>0</v>
      </c>
      <c r="AB250" s="37">
        <f t="shared" si="116"/>
        <v>0</v>
      </c>
      <c r="AC250" s="37">
        <f>SUM(AC251:AC252)</f>
        <v>13656.09</v>
      </c>
      <c r="AD250" s="37">
        <f>SUM(AD251:AD252)</f>
        <v>13773.91</v>
      </c>
      <c r="AE250" s="337">
        <f t="shared" si="104"/>
        <v>49.78523514400292</v>
      </c>
    </row>
    <row r="251" spans="2:31" s="28" customFormat="1" ht="12.75">
      <c r="B251" s="33"/>
      <c r="C251" s="41"/>
      <c r="D251" s="41">
        <v>4300</v>
      </c>
      <c r="E251" s="42" t="s">
        <v>1000</v>
      </c>
      <c r="F251" s="65">
        <v>26330</v>
      </c>
      <c r="G251" s="43">
        <v>25430</v>
      </c>
      <c r="H251" s="65">
        <v>-1000</v>
      </c>
      <c r="I251" s="44"/>
      <c r="J251" s="44"/>
      <c r="K251" s="44"/>
      <c r="L251" s="44"/>
      <c r="M251" s="44"/>
      <c r="N251" s="44"/>
      <c r="O251" s="44"/>
      <c r="P251" s="45">
        <f>G251+H251+I251+J251+K251+L251+M251+N251+O251</f>
        <v>24430</v>
      </c>
      <c r="Q251" s="43">
        <v>1738</v>
      </c>
      <c r="R251" s="43">
        <v>1444</v>
      </c>
      <c r="S251" s="43">
        <v>4854</v>
      </c>
      <c r="T251" s="43">
        <v>2927.08</v>
      </c>
      <c r="U251" s="43">
        <v>427.12</v>
      </c>
      <c r="V251" s="43">
        <v>576</v>
      </c>
      <c r="W251" s="43"/>
      <c r="X251" s="43"/>
      <c r="Y251" s="43"/>
      <c r="Z251" s="43"/>
      <c r="AA251" s="43"/>
      <c r="AB251" s="43"/>
      <c r="AC251" s="46">
        <f>SUM(Q251:AB251)</f>
        <v>11966.2</v>
      </c>
      <c r="AD251" s="43">
        <f>P251-AC251</f>
        <v>12463.8</v>
      </c>
      <c r="AE251" s="338">
        <f t="shared" si="104"/>
        <v>48.98158002455997</v>
      </c>
    </row>
    <row r="252" spans="2:31" s="28" customFormat="1" ht="12.75">
      <c r="B252" s="33"/>
      <c r="C252" s="41"/>
      <c r="D252" s="41">
        <v>4410</v>
      </c>
      <c r="E252" s="42" t="s">
        <v>635</v>
      </c>
      <c r="F252" s="65"/>
      <c r="G252" s="43"/>
      <c r="H252" s="44">
        <v>3000</v>
      </c>
      <c r="I252" s="44"/>
      <c r="J252" s="44"/>
      <c r="K252" s="44"/>
      <c r="L252" s="44"/>
      <c r="M252" s="44"/>
      <c r="N252" s="44"/>
      <c r="O252" s="44"/>
      <c r="P252" s="45">
        <f>G252+H252+I252+J252+K252+L252+M252+N252+O252</f>
        <v>3000</v>
      </c>
      <c r="Q252" s="43"/>
      <c r="R252" s="43"/>
      <c r="S252" s="43">
        <v>1353.91</v>
      </c>
      <c r="T252" s="43">
        <v>235.7</v>
      </c>
      <c r="U252" s="43">
        <v>100.28</v>
      </c>
      <c r="V252" s="43"/>
      <c r="W252" s="43"/>
      <c r="X252" s="43"/>
      <c r="Y252" s="43"/>
      <c r="Z252" s="43"/>
      <c r="AA252" s="43"/>
      <c r="AB252" s="43"/>
      <c r="AC252" s="46">
        <f>SUM(Q252:AB252)</f>
        <v>1689.89</v>
      </c>
      <c r="AD252" s="43">
        <f>P252-AC252</f>
        <v>1310.11</v>
      </c>
      <c r="AE252" s="338">
        <f t="shared" si="104"/>
        <v>56.32966666666667</v>
      </c>
    </row>
    <row r="253" spans="2:31" s="28" customFormat="1" ht="12.75">
      <c r="B253" s="33"/>
      <c r="C253" s="35">
        <v>80195</v>
      </c>
      <c r="D253" s="35"/>
      <c r="E253" s="36" t="s">
        <v>162</v>
      </c>
      <c r="F253" s="63">
        <f>SUM(F254:F256)</f>
        <v>37230</v>
      </c>
      <c r="G253" s="37">
        <f>SUM(G254:G256)</f>
        <v>55113</v>
      </c>
      <c r="H253" s="38">
        <f>SUM(H254:H256)</f>
        <v>0</v>
      </c>
      <c r="I253" s="38">
        <f aca="true" t="shared" si="117" ref="I253:O253">SUM(I254:I256)</f>
        <v>0</v>
      </c>
      <c r="J253" s="38">
        <f t="shared" si="117"/>
        <v>42298</v>
      </c>
      <c r="K253" s="38">
        <f t="shared" si="117"/>
        <v>0</v>
      </c>
      <c r="L253" s="38">
        <f t="shared" si="117"/>
        <v>0</v>
      </c>
      <c r="M253" s="38">
        <f t="shared" si="117"/>
        <v>0</v>
      </c>
      <c r="N253" s="38">
        <f t="shared" si="117"/>
        <v>0</v>
      </c>
      <c r="O253" s="38">
        <f t="shared" si="117"/>
        <v>0</v>
      </c>
      <c r="P253" s="39">
        <f>SUM(P254:P256)</f>
        <v>97411</v>
      </c>
      <c r="Q253" s="37">
        <f>SUM(Q254:Q256)</f>
        <v>0</v>
      </c>
      <c r="R253" s="37">
        <f aca="true" t="shared" si="118" ref="R253:AB253">SUM(R254:R256)</f>
        <v>27922.5</v>
      </c>
      <c r="S253" s="37">
        <f t="shared" si="118"/>
        <v>0</v>
      </c>
      <c r="T253" s="37">
        <f t="shared" si="118"/>
        <v>5621.68</v>
      </c>
      <c r="U253" s="37">
        <f t="shared" si="118"/>
        <v>0</v>
      </c>
      <c r="V253" s="37">
        <f t="shared" si="118"/>
        <v>9307.5</v>
      </c>
      <c r="W253" s="37">
        <f t="shared" si="118"/>
        <v>0</v>
      </c>
      <c r="X253" s="37">
        <f t="shared" si="118"/>
        <v>0</v>
      </c>
      <c r="Y253" s="37">
        <f t="shared" si="118"/>
        <v>0</v>
      </c>
      <c r="Z253" s="37">
        <f t="shared" si="118"/>
        <v>0</v>
      </c>
      <c r="AA253" s="37">
        <f t="shared" si="118"/>
        <v>0</v>
      </c>
      <c r="AB253" s="37">
        <f t="shared" si="118"/>
        <v>0</v>
      </c>
      <c r="AC253" s="37">
        <f>SUM(AC254:AC256)</f>
        <v>42851.68</v>
      </c>
      <c r="AD253" s="37">
        <f>SUM(AD254:AD256)</f>
        <v>54559.32</v>
      </c>
      <c r="AE253" s="337">
        <f t="shared" si="104"/>
        <v>43.99059654453809</v>
      </c>
    </row>
    <row r="254" spans="2:31" s="28" customFormat="1" ht="12.75" hidden="1">
      <c r="B254" s="339"/>
      <c r="C254" s="41"/>
      <c r="D254" s="41">
        <v>4170</v>
      </c>
      <c r="E254" s="42" t="s">
        <v>640</v>
      </c>
      <c r="F254" s="65"/>
      <c r="G254" s="43"/>
      <c r="H254" s="44"/>
      <c r="I254" s="44"/>
      <c r="J254" s="44"/>
      <c r="K254" s="44"/>
      <c r="L254" s="44"/>
      <c r="M254" s="44"/>
      <c r="N254" s="44"/>
      <c r="O254" s="44"/>
      <c r="P254" s="45">
        <f>G254+H254+I254+J254+K254+L254+M254+N254+O254</f>
        <v>0</v>
      </c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6">
        <f>SUM(Q254:AB254)</f>
        <v>0</v>
      </c>
      <c r="AD254" s="43">
        <f>P254-AC254</f>
        <v>0</v>
      </c>
      <c r="AE254" s="338" t="e">
        <f t="shared" si="104"/>
        <v>#DIV/0!</v>
      </c>
    </row>
    <row r="255" spans="2:31" s="28" customFormat="1" ht="12.75">
      <c r="B255" s="339"/>
      <c r="C255" s="41"/>
      <c r="D255" s="41">
        <v>4300</v>
      </c>
      <c r="E255" s="42" t="s">
        <v>1000</v>
      </c>
      <c r="F255" s="65"/>
      <c r="G255" s="43"/>
      <c r="H255" s="44">
        <v>17883</v>
      </c>
      <c r="I255" s="44"/>
      <c r="J255" s="44">
        <v>42298</v>
      </c>
      <c r="K255" s="44"/>
      <c r="L255" s="44"/>
      <c r="M255" s="44"/>
      <c r="N255" s="44"/>
      <c r="O255" s="44"/>
      <c r="P255" s="45">
        <f>G255+H255+I255+J255+K255+L255+M255+N255+O255</f>
        <v>60181</v>
      </c>
      <c r="Q255" s="43"/>
      <c r="R255" s="43"/>
      <c r="S255" s="43"/>
      <c r="T255" s="43">
        <v>5621.68</v>
      </c>
      <c r="U255" s="43"/>
      <c r="V255" s="43"/>
      <c r="W255" s="43"/>
      <c r="X255" s="43"/>
      <c r="Y255" s="43"/>
      <c r="Z255" s="43"/>
      <c r="AA255" s="43"/>
      <c r="AB255" s="43"/>
      <c r="AC255" s="46">
        <f>SUM(Q255:AB255)</f>
        <v>5621.68</v>
      </c>
      <c r="AD255" s="43">
        <f>P255-AC255</f>
        <v>54559.32</v>
      </c>
      <c r="AE255" s="338">
        <f t="shared" si="104"/>
        <v>9.341287117196458</v>
      </c>
    </row>
    <row r="256" spans="2:31" s="28" customFormat="1" ht="25.5">
      <c r="B256" s="33"/>
      <c r="C256" s="41"/>
      <c r="D256" s="41">
        <v>4440</v>
      </c>
      <c r="E256" s="42" t="s">
        <v>645</v>
      </c>
      <c r="F256" s="65">
        <f>37230</f>
        <v>37230</v>
      </c>
      <c r="G256" s="43">
        <f>37230+17883</f>
        <v>55113</v>
      </c>
      <c r="H256" s="65">
        <v>-17883</v>
      </c>
      <c r="I256" s="44"/>
      <c r="J256" s="44"/>
      <c r="K256" s="44"/>
      <c r="L256" s="44"/>
      <c r="M256" s="44"/>
      <c r="N256" s="44"/>
      <c r="O256" s="44"/>
      <c r="P256" s="45">
        <f>G256+H256+I256+J256+K256+L256+M256+N256+O256</f>
        <v>37230</v>
      </c>
      <c r="Q256" s="43"/>
      <c r="R256" s="43">
        <v>27922.5</v>
      </c>
      <c r="S256" s="43"/>
      <c r="T256" s="43"/>
      <c r="U256" s="43"/>
      <c r="V256" s="43">
        <v>9307.5</v>
      </c>
      <c r="W256" s="43"/>
      <c r="X256" s="43"/>
      <c r="Y256" s="43"/>
      <c r="Z256" s="43"/>
      <c r="AA256" s="43"/>
      <c r="AB256" s="43"/>
      <c r="AC256" s="46">
        <f>SUM(Q256:AB256)</f>
        <v>37230</v>
      </c>
      <c r="AD256" s="43">
        <f>P256-AC256</f>
        <v>0</v>
      </c>
      <c r="AE256" s="338">
        <f t="shared" si="104"/>
        <v>100</v>
      </c>
    </row>
    <row r="257" spans="2:31" s="28" customFormat="1" ht="12.75">
      <c r="B257" s="53">
        <v>851</v>
      </c>
      <c r="C257" s="71"/>
      <c r="D257" s="71"/>
      <c r="E257" s="55" t="s">
        <v>669</v>
      </c>
      <c r="F257" s="62" t="e">
        <f>F263+#REF!</f>
        <v>#REF!</v>
      </c>
      <c r="G257" s="51">
        <f>G263+G258</f>
        <v>80000</v>
      </c>
      <c r="H257" s="52">
        <f>H263+H258</f>
        <v>28340</v>
      </c>
      <c r="I257" s="52">
        <f>I263+I258</f>
        <v>0</v>
      </c>
      <c r="J257" s="52">
        <f>J263+J258</f>
        <v>0</v>
      </c>
      <c r="K257" s="52" t="e">
        <f>K263+#REF!+K258</f>
        <v>#REF!</v>
      </c>
      <c r="L257" s="52" t="e">
        <f>L263+#REF!+L258</f>
        <v>#REF!</v>
      </c>
      <c r="M257" s="52" t="e">
        <f>M263+#REF!+M258</f>
        <v>#REF!</v>
      </c>
      <c r="N257" s="52" t="e">
        <f>N263+#REF!+N258</f>
        <v>#REF!</v>
      </c>
      <c r="O257" s="52" t="e">
        <f>O263+#REF!+O258</f>
        <v>#REF!</v>
      </c>
      <c r="P257" s="51">
        <f>P258+P263</f>
        <v>108340</v>
      </c>
      <c r="Q257" s="51">
        <f>Q263+Q258</f>
        <v>2219.41</v>
      </c>
      <c r="R257" s="51">
        <f aca="true" t="shared" si="119" ref="R257:AB257">R263+R258</f>
        <v>16351.24</v>
      </c>
      <c r="S257" s="51">
        <f t="shared" si="119"/>
        <v>4979.37</v>
      </c>
      <c r="T257" s="51">
        <f t="shared" si="119"/>
        <v>7362.030000000001</v>
      </c>
      <c r="U257" s="51">
        <f t="shared" si="119"/>
        <v>3438.76</v>
      </c>
      <c r="V257" s="51">
        <f t="shared" si="119"/>
        <v>21741.800000000003</v>
      </c>
      <c r="W257" s="51">
        <f t="shared" si="119"/>
        <v>0</v>
      </c>
      <c r="X257" s="51">
        <f t="shared" si="119"/>
        <v>0</v>
      </c>
      <c r="Y257" s="51">
        <f t="shared" si="119"/>
        <v>0</v>
      </c>
      <c r="Z257" s="51">
        <f t="shared" si="119"/>
        <v>0</v>
      </c>
      <c r="AA257" s="51">
        <f t="shared" si="119"/>
        <v>0</v>
      </c>
      <c r="AB257" s="51">
        <f t="shared" si="119"/>
        <v>0</v>
      </c>
      <c r="AC257" s="51">
        <f>AC258+AC263</f>
        <v>56092.60999999999</v>
      </c>
      <c r="AD257" s="51">
        <f>AD258+AD263</f>
        <v>52247.39</v>
      </c>
      <c r="AE257" s="336">
        <f t="shared" si="104"/>
        <v>51.77460771644821</v>
      </c>
    </row>
    <row r="258" spans="2:31" s="56" customFormat="1" ht="12.75">
      <c r="B258" s="340"/>
      <c r="C258" s="67">
        <v>85153</v>
      </c>
      <c r="D258" s="72"/>
      <c r="E258" s="75" t="s">
        <v>1057</v>
      </c>
      <c r="F258" s="73"/>
      <c r="G258" s="57">
        <f>SUM(G259:G262)</f>
        <v>14000</v>
      </c>
      <c r="H258" s="58">
        <f>SUM(H259:H262)</f>
        <v>14170</v>
      </c>
      <c r="I258" s="58">
        <f aca="true" t="shared" si="120" ref="I258:O258">SUM(I259:I262)</f>
        <v>0</v>
      </c>
      <c r="J258" s="73">
        <f t="shared" si="120"/>
        <v>-5000</v>
      </c>
      <c r="K258" s="58">
        <f t="shared" si="120"/>
        <v>0</v>
      </c>
      <c r="L258" s="58">
        <f t="shared" si="120"/>
        <v>0</v>
      </c>
      <c r="M258" s="58">
        <f t="shared" si="120"/>
        <v>0</v>
      </c>
      <c r="N258" s="58">
        <f t="shared" si="120"/>
        <v>0</v>
      </c>
      <c r="O258" s="58">
        <f t="shared" si="120"/>
        <v>0</v>
      </c>
      <c r="P258" s="39">
        <f>SUM(P259:P262)</f>
        <v>23170</v>
      </c>
      <c r="Q258" s="57">
        <f>SUM(Q259:Q262)</f>
        <v>0</v>
      </c>
      <c r="R258" s="57">
        <f aca="true" t="shared" si="121" ref="R258:AD258">SUM(R259:R262)</f>
        <v>2737.27</v>
      </c>
      <c r="S258" s="57">
        <f t="shared" si="121"/>
        <v>200</v>
      </c>
      <c r="T258" s="57">
        <f t="shared" si="121"/>
        <v>0</v>
      </c>
      <c r="U258" s="57">
        <f t="shared" si="121"/>
        <v>0</v>
      </c>
      <c r="V258" s="57">
        <f t="shared" si="121"/>
        <v>0</v>
      </c>
      <c r="W258" s="57">
        <f t="shared" si="121"/>
        <v>0</v>
      </c>
      <c r="X258" s="57">
        <f t="shared" si="121"/>
        <v>0</v>
      </c>
      <c r="Y258" s="57">
        <f t="shared" si="121"/>
        <v>0</v>
      </c>
      <c r="Z258" s="57">
        <f t="shared" si="121"/>
        <v>0</v>
      </c>
      <c r="AA258" s="57">
        <f t="shared" si="121"/>
        <v>0</v>
      </c>
      <c r="AB258" s="57">
        <f t="shared" si="121"/>
        <v>0</v>
      </c>
      <c r="AC258" s="57">
        <f t="shared" si="121"/>
        <v>2937.27</v>
      </c>
      <c r="AD258" s="57">
        <f t="shared" si="121"/>
        <v>20232.73</v>
      </c>
      <c r="AE258" s="337">
        <f t="shared" si="104"/>
        <v>12.677039274924471</v>
      </c>
    </row>
    <row r="259" spans="2:31" s="56" customFormat="1" ht="12.75">
      <c r="B259" s="340"/>
      <c r="C259" s="72"/>
      <c r="D259" s="41">
        <v>4210</v>
      </c>
      <c r="E259" s="42" t="s">
        <v>998</v>
      </c>
      <c r="F259" s="73"/>
      <c r="G259" s="59">
        <v>3700</v>
      </c>
      <c r="H259" s="60"/>
      <c r="I259" s="60"/>
      <c r="J259" s="61"/>
      <c r="K259" s="60"/>
      <c r="L259" s="60"/>
      <c r="M259" s="60"/>
      <c r="N259" s="60"/>
      <c r="O259" s="60"/>
      <c r="P259" s="45">
        <f>G259+H259+I259+J259+K259+L259+M259+N259+O259</f>
        <v>3700</v>
      </c>
      <c r="Q259" s="59"/>
      <c r="R259" s="59"/>
      <c r="S259" s="59"/>
      <c r="T259" s="59"/>
      <c r="U259" s="59"/>
      <c r="V259" s="59"/>
      <c r="W259" s="59"/>
      <c r="X259" s="59"/>
      <c r="Y259" s="59"/>
      <c r="Z259" s="59"/>
      <c r="AA259" s="59"/>
      <c r="AB259" s="59"/>
      <c r="AC259" s="46">
        <f>SUM(Q259:AB259)</f>
        <v>0</v>
      </c>
      <c r="AD259" s="43">
        <f>P259-AC259</f>
        <v>3700</v>
      </c>
      <c r="AE259" s="338">
        <f t="shared" si="104"/>
        <v>0</v>
      </c>
    </row>
    <row r="260" spans="2:31" s="56" customFormat="1" ht="12.75">
      <c r="B260" s="340"/>
      <c r="C260" s="72"/>
      <c r="D260" s="41">
        <v>4300</v>
      </c>
      <c r="E260" s="42" t="s">
        <v>1000</v>
      </c>
      <c r="F260" s="73"/>
      <c r="G260" s="59">
        <v>10000</v>
      </c>
      <c r="H260" s="44">
        <v>14170</v>
      </c>
      <c r="I260" s="60"/>
      <c r="J260" s="61">
        <v>-5000</v>
      </c>
      <c r="K260" s="60"/>
      <c r="L260" s="60"/>
      <c r="M260" s="60"/>
      <c r="N260" s="60"/>
      <c r="O260" s="60"/>
      <c r="P260" s="45">
        <f>G260+H260+I260+J260+K260+L260+M260+N260+O260</f>
        <v>19170</v>
      </c>
      <c r="Q260" s="59"/>
      <c r="R260" s="59">
        <v>2737.27</v>
      </c>
      <c r="S260" s="59">
        <v>200</v>
      </c>
      <c r="T260" s="59"/>
      <c r="U260" s="59"/>
      <c r="V260" s="59"/>
      <c r="W260" s="59"/>
      <c r="X260" s="59"/>
      <c r="Y260" s="59"/>
      <c r="Z260" s="59"/>
      <c r="AA260" s="59"/>
      <c r="AB260" s="59"/>
      <c r="AC260" s="46">
        <f>SUM(Q260:AB260)</f>
        <v>2937.27</v>
      </c>
      <c r="AD260" s="43">
        <f>P260-AC260</f>
        <v>16232.73</v>
      </c>
      <c r="AE260" s="338">
        <f t="shared" si="104"/>
        <v>15.322222222222223</v>
      </c>
    </row>
    <row r="261" spans="2:31" s="56" customFormat="1" ht="12.75">
      <c r="B261" s="340"/>
      <c r="C261" s="72"/>
      <c r="D261" s="41">
        <v>4410</v>
      </c>
      <c r="E261" s="42" t="s">
        <v>635</v>
      </c>
      <c r="F261" s="73"/>
      <c r="G261" s="59">
        <v>200</v>
      </c>
      <c r="H261" s="60"/>
      <c r="I261" s="60"/>
      <c r="J261" s="60"/>
      <c r="K261" s="60"/>
      <c r="L261" s="60"/>
      <c r="M261" s="60"/>
      <c r="N261" s="60"/>
      <c r="O261" s="60"/>
      <c r="P261" s="45">
        <f>G261+H261+I261+J261+K261+L261+M261+N261+O261</f>
        <v>200</v>
      </c>
      <c r="Q261" s="59"/>
      <c r="R261" s="59"/>
      <c r="S261" s="59"/>
      <c r="T261" s="59"/>
      <c r="U261" s="59"/>
      <c r="V261" s="59"/>
      <c r="W261" s="59"/>
      <c r="X261" s="59"/>
      <c r="Y261" s="59"/>
      <c r="Z261" s="59"/>
      <c r="AA261" s="59"/>
      <c r="AB261" s="59"/>
      <c r="AC261" s="46">
        <f>SUM(Q261:AB261)</f>
        <v>0</v>
      </c>
      <c r="AD261" s="43">
        <f>P261-AC261</f>
        <v>200</v>
      </c>
      <c r="AE261" s="338">
        <f t="shared" si="104"/>
        <v>0</v>
      </c>
    </row>
    <row r="262" spans="2:31" s="56" customFormat="1" ht="25.5">
      <c r="B262" s="340"/>
      <c r="C262" s="72"/>
      <c r="D262" s="41">
        <v>4740</v>
      </c>
      <c r="E262" s="42" t="s">
        <v>616</v>
      </c>
      <c r="F262" s="73"/>
      <c r="G262" s="59">
        <v>100</v>
      </c>
      <c r="H262" s="60"/>
      <c r="I262" s="60"/>
      <c r="J262" s="60"/>
      <c r="K262" s="60"/>
      <c r="L262" s="60"/>
      <c r="M262" s="60"/>
      <c r="N262" s="60"/>
      <c r="O262" s="60"/>
      <c r="P262" s="45">
        <f>G262+H262+I262+J262+K262+L262+M262+N262+O262</f>
        <v>100</v>
      </c>
      <c r="Q262" s="59"/>
      <c r="R262" s="59"/>
      <c r="S262" s="59"/>
      <c r="T262" s="59"/>
      <c r="U262" s="59"/>
      <c r="V262" s="59"/>
      <c r="W262" s="59"/>
      <c r="X262" s="59"/>
      <c r="Y262" s="59"/>
      <c r="Z262" s="59"/>
      <c r="AA262" s="59"/>
      <c r="AB262" s="59"/>
      <c r="AC262" s="46">
        <f>SUM(Q262:AB262)</f>
        <v>0</v>
      </c>
      <c r="AD262" s="43">
        <f>P262-AC262</f>
        <v>100</v>
      </c>
      <c r="AE262" s="338">
        <f t="shared" si="104"/>
        <v>0</v>
      </c>
    </row>
    <row r="263" spans="2:31" s="28" customFormat="1" ht="12.75">
      <c r="B263" s="33"/>
      <c r="C263" s="35">
        <v>85154</v>
      </c>
      <c r="D263" s="35"/>
      <c r="E263" s="36" t="s">
        <v>670</v>
      </c>
      <c r="F263" s="63">
        <f>SUM(F264:F273)</f>
        <v>80000</v>
      </c>
      <c r="G263" s="37">
        <f>SUM(G264:G274)</f>
        <v>66000</v>
      </c>
      <c r="H263" s="38">
        <f>SUM(H264:H274)</f>
        <v>14170</v>
      </c>
      <c r="I263" s="38">
        <f aca="true" t="shared" si="122" ref="I263:O263">SUM(I264:I273)</f>
        <v>0</v>
      </c>
      <c r="J263" s="38">
        <f t="shared" si="122"/>
        <v>5000</v>
      </c>
      <c r="K263" s="38">
        <f t="shared" si="122"/>
        <v>0</v>
      </c>
      <c r="L263" s="38">
        <f t="shared" si="122"/>
        <v>0</v>
      </c>
      <c r="M263" s="38">
        <f t="shared" si="122"/>
        <v>0</v>
      </c>
      <c r="N263" s="38">
        <f t="shared" si="122"/>
        <v>0</v>
      </c>
      <c r="O263" s="38">
        <f t="shared" si="122"/>
        <v>0</v>
      </c>
      <c r="P263" s="39">
        <f>SUM(P264:P274)</f>
        <v>85170</v>
      </c>
      <c r="Q263" s="37">
        <f>SUM(Q264:Q273)</f>
        <v>2219.41</v>
      </c>
      <c r="R263" s="37">
        <f>SUM(R264:R274)</f>
        <v>13613.97</v>
      </c>
      <c r="S263" s="37">
        <f>SUM(S264:S273)</f>
        <v>4779.37</v>
      </c>
      <c r="T263" s="37">
        <f>SUM(T264:T274)</f>
        <v>7362.030000000001</v>
      </c>
      <c r="U263" s="37">
        <f aca="true" t="shared" si="123" ref="U263:AB263">SUM(U264:U274)</f>
        <v>3438.76</v>
      </c>
      <c r="V263" s="37">
        <f t="shared" si="123"/>
        <v>21741.800000000003</v>
      </c>
      <c r="W263" s="37">
        <f t="shared" si="123"/>
        <v>0</v>
      </c>
      <c r="X263" s="37">
        <f t="shared" si="123"/>
        <v>0</v>
      </c>
      <c r="Y263" s="37">
        <f t="shared" si="123"/>
        <v>0</v>
      </c>
      <c r="Z263" s="37">
        <f t="shared" si="123"/>
        <v>0</v>
      </c>
      <c r="AA263" s="37">
        <f t="shared" si="123"/>
        <v>0</v>
      </c>
      <c r="AB263" s="37">
        <f t="shared" si="123"/>
        <v>0</v>
      </c>
      <c r="AC263" s="37">
        <f>SUM(AC264:AC274)</f>
        <v>53155.34</v>
      </c>
      <c r="AD263" s="37">
        <f>SUM(AD264:AD274)</f>
        <v>32014.660000000003</v>
      </c>
      <c r="AE263" s="337">
        <f t="shared" si="104"/>
        <v>62.41087237290126</v>
      </c>
    </row>
    <row r="264" spans="2:31" s="28" customFormat="1" ht="38.25">
      <c r="B264" s="33"/>
      <c r="C264" s="35"/>
      <c r="D264" s="41">
        <v>2820</v>
      </c>
      <c r="E264" s="42" t="s">
        <v>671</v>
      </c>
      <c r="F264" s="65">
        <v>6000</v>
      </c>
      <c r="G264" s="43">
        <v>6000</v>
      </c>
      <c r="H264" s="44"/>
      <c r="I264" s="44"/>
      <c r="J264" s="44"/>
      <c r="K264" s="44"/>
      <c r="L264" s="44"/>
      <c r="M264" s="44"/>
      <c r="N264" s="44"/>
      <c r="O264" s="44"/>
      <c r="P264" s="45">
        <f aca="true" t="shared" si="124" ref="P264:P274">G264+H264+I264+J264+K264+L264+M264+N264+O264</f>
        <v>6000</v>
      </c>
      <c r="Q264" s="43"/>
      <c r="R264" s="43"/>
      <c r="S264" s="43"/>
      <c r="T264" s="43">
        <v>2000</v>
      </c>
      <c r="U264" s="43"/>
      <c r="V264" s="43"/>
      <c r="W264" s="43"/>
      <c r="X264" s="43"/>
      <c r="Y264" s="43"/>
      <c r="Z264" s="43"/>
      <c r="AA264" s="43"/>
      <c r="AB264" s="43"/>
      <c r="AC264" s="46">
        <f aca="true" t="shared" si="125" ref="AC264:AC273">SUM(Q264:AB264)</f>
        <v>2000</v>
      </c>
      <c r="AD264" s="43">
        <f aca="true" t="shared" si="126" ref="AD264:AD273">P264-AC264</f>
        <v>4000</v>
      </c>
      <c r="AE264" s="338">
        <f t="shared" si="104"/>
        <v>33.333333333333336</v>
      </c>
    </row>
    <row r="265" spans="2:31" s="28" customFormat="1" ht="12.75">
      <c r="B265" s="33"/>
      <c r="C265" s="35"/>
      <c r="D265" s="41">
        <v>4170</v>
      </c>
      <c r="E265" s="42" t="s">
        <v>640</v>
      </c>
      <c r="F265" s="65">
        <f>15000+3000</f>
        <v>18000</v>
      </c>
      <c r="G265" s="43">
        <f>15000+3000</f>
        <v>18000</v>
      </c>
      <c r="H265" s="44"/>
      <c r="I265" s="44"/>
      <c r="J265" s="44"/>
      <c r="K265" s="44"/>
      <c r="L265" s="44"/>
      <c r="M265" s="44"/>
      <c r="N265" s="44"/>
      <c r="O265" s="44"/>
      <c r="P265" s="45">
        <f t="shared" si="124"/>
        <v>18000</v>
      </c>
      <c r="Q265" s="43">
        <v>1359</v>
      </c>
      <c r="R265" s="43">
        <v>1562</v>
      </c>
      <c r="S265" s="43">
        <v>1682</v>
      </c>
      <c r="T265" s="43">
        <v>1650.5</v>
      </c>
      <c r="U265" s="43">
        <v>1441.5</v>
      </c>
      <c r="V265" s="43">
        <v>1400</v>
      </c>
      <c r="W265" s="43"/>
      <c r="X265" s="43"/>
      <c r="Y265" s="43"/>
      <c r="Z265" s="43"/>
      <c r="AA265" s="43"/>
      <c r="AB265" s="43"/>
      <c r="AC265" s="46">
        <f t="shared" si="125"/>
        <v>9095</v>
      </c>
      <c r="AD265" s="43">
        <f t="shared" si="126"/>
        <v>8905</v>
      </c>
      <c r="AE265" s="338">
        <f t="shared" si="104"/>
        <v>50.52777777777778</v>
      </c>
    </row>
    <row r="266" spans="2:31" s="28" customFormat="1" ht="12.75">
      <c r="B266" s="33"/>
      <c r="C266" s="41"/>
      <c r="D266" s="41">
        <v>4210</v>
      </c>
      <c r="E266" s="42" t="s">
        <v>998</v>
      </c>
      <c r="F266" s="65">
        <f>18000+5000</f>
        <v>23000</v>
      </c>
      <c r="G266" s="43">
        <v>19300</v>
      </c>
      <c r="H266" s="44"/>
      <c r="I266" s="44"/>
      <c r="J266" s="44">
        <v>5000</v>
      </c>
      <c r="K266" s="44"/>
      <c r="L266" s="44"/>
      <c r="M266" s="44"/>
      <c r="N266" s="44"/>
      <c r="O266" s="44"/>
      <c r="P266" s="45">
        <f t="shared" si="124"/>
        <v>24300</v>
      </c>
      <c r="Q266" s="43"/>
      <c r="R266" s="43">
        <v>1235.57</v>
      </c>
      <c r="S266" s="43">
        <v>371.25</v>
      </c>
      <c r="T266" s="43">
        <v>500.8</v>
      </c>
      <c r="U266" s="43"/>
      <c r="V266" s="43">
        <v>13443.68</v>
      </c>
      <c r="W266" s="43"/>
      <c r="X266" s="43"/>
      <c r="Y266" s="43"/>
      <c r="Z266" s="43"/>
      <c r="AA266" s="43"/>
      <c r="AB266" s="43"/>
      <c r="AC266" s="46">
        <f t="shared" si="125"/>
        <v>15551.3</v>
      </c>
      <c r="AD266" s="43">
        <f t="shared" si="126"/>
        <v>8748.7</v>
      </c>
      <c r="AE266" s="338">
        <f t="shared" si="104"/>
        <v>63.99711934156379</v>
      </c>
    </row>
    <row r="267" spans="2:34" s="28" customFormat="1" ht="12.75">
      <c r="B267" s="33"/>
      <c r="C267" s="41"/>
      <c r="D267" s="41">
        <v>4260</v>
      </c>
      <c r="E267" s="42" t="s">
        <v>634</v>
      </c>
      <c r="F267" s="65">
        <v>6000</v>
      </c>
      <c r="G267" s="43">
        <v>6000</v>
      </c>
      <c r="H267" s="44"/>
      <c r="I267" s="44"/>
      <c r="J267" s="44"/>
      <c r="K267" s="44"/>
      <c r="L267" s="44"/>
      <c r="M267" s="44"/>
      <c r="N267" s="44"/>
      <c r="O267" s="44"/>
      <c r="P267" s="45">
        <f t="shared" si="124"/>
        <v>6000</v>
      </c>
      <c r="Q267" s="43"/>
      <c r="R267" s="43">
        <v>511</v>
      </c>
      <c r="S267" s="43">
        <v>276</v>
      </c>
      <c r="T267" s="43">
        <v>513.89</v>
      </c>
      <c r="U267" s="43"/>
      <c r="V267" s="43">
        <v>186.76</v>
      </c>
      <c r="W267" s="43"/>
      <c r="X267" s="43"/>
      <c r="Y267" s="43"/>
      <c r="Z267" s="43"/>
      <c r="AA267" s="43"/>
      <c r="AB267" s="43"/>
      <c r="AC267" s="46">
        <f t="shared" si="125"/>
        <v>1487.6499999999999</v>
      </c>
      <c r="AD267" s="43">
        <f t="shared" si="126"/>
        <v>4512.35</v>
      </c>
      <c r="AE267" s="583">
        <f t="shared" si="104"/>
        <v>24.794166666666666</v>
      </c>
      <c r="AF267" s="814"/>
      <c r="AG267" s="814"/>
      <c r="AH267" s="585" t="s">
        <v>1058</v>
      </c>
    </row>
    <row r="268" spans="2:34" s="28" customFormat="1" ht="12.75">
      <c r="B268" s="33"/>
      <c r="C268" s="41"/>
      <c r="D268" s="41">
        <v>4270</v>
      </c>
      <c r="E268" s="42" t="s">
        <v>999</v>
      </c>
      <c r="F268" s="65">
        <v>4000</v>
      </c>
      <c r="G268" s="43">
        <v>4000</v>
      </c>
      <c r="H268" s="44"/>
      <c r="I268" s="44"/>
      <c r="J268" s="44"/>
      <c r="K268" s="44"/>
      <c r="L268" s="44"/>
      <c r="M268" s="44"/>
      <c r="N268" s="44"/>
      <c r="O268" s="44"/>
      <c r="P268" s="45">
        <f t="shared" si="124"/>
        <v>4000</v>
      </c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6">
        <f t="shared" si="125"/>
        <v>0</v>
      </c>
      <c r="AD268" s="43">
        <f t="shared" si="126"/>
        <v>4000</v>
      </c>
      <c r="AE268" s="583">
        <f t="shared" si="104"/>
        <v>0</v>
      </c>
      <c r="AF268" s="578"/>
      <c r="AG268" s="578"/>
      <c r="AH268" s="585"/>
    </row>
    <row r="269" spans="2:34" s="28" customFormat="1" ht="12.75">
      <c r="B269" s="33"/>
      <c r="C269" s="41"/>
      <c r="D269" s="41">
        <v>4300</v>
      </c>
      <c r="E269" s="42" t="s">
        <v>1000</v>
      </c>
      <c r="F269" s="65">
        <f>15000+6000</f>
        <v>21000</v>
      </c>
      <c r="G269" s="43">
        <v>11000</v>
      </c>
      <c r="H269" s="44">
        <v>8470</v>
      </c>
      <c r="I269" s="44"/>
      <c r="J269" s="44"/>
      <c r="K269" s="44"/>
      <c r="L269" s="44"/>
      <c r="M269" s="44"/>
      <c r="N269" s="44"/>
      <c r="O269" s="44"/>
      <c r="P269" s="45">
        <f t="shared" si="124"/>
        <v>19470</v>
      </c>
      <c r="Q269" s="43">
        <v>817</v>
      </c>
      <c r="R269" s="43">
        <v>4559.17</v>
      </c>
      <c r="S269" s="43">
        <v>2406</v>
      </c>
      <c r="T269" s="43">
        <v>2400</v>
      </c>
      <c r="U269" s="43">
        <v>1945</v>
      </c>
      <c r="V269" s="43">
        <v>6663</v>
      </c>
      <c r="W269" s="43"/>
      <c r="X269" s="43"/>
      <c r="Y269" s="43"/>
      <c r="Z269" s="43"/>
      <c r="AA269" s="43"/>
      <c r="AB269" s="43"/>
      <c r="AC269" s="46">
        <f t="shared" si="125"/>
        <v>18790.17</v>
      </c>
      <c r="AD269" s="43">
        <f t="shared" si="126"/>
        <v>679.8300000000017</v>
      </c>
      <c r="AE269" s="583">
        <f t="shared" si="104"/>
        <v>96.50832049306625</v>
      </c>
      <c r="AF269" s="598"/>
      <c r="AG269" s="598"/>
      <c r="AH269" s="584">
        <v>89143.88</v>
      </c>
    </row>
    <row r="270" spans="2:34" s="28" customFormat="1" ht="25.5">
      <c r="B270" s="33"/>
      <c r="C270" s="41"/>
      <c r="D270" s="41">
        <v>4370</v>
      </c>
      <c r="E270" s="42" t="s">
        <v>644</v>
      </c>
      <c r="F270" s="65">
        <v>700</v>
      </c>
      <c r="G270" s="43">
        <v>700</v>
      </c>
      <c r="H270" s="44"/>
      <c r="I270" s="44"/>
      <c r="J270" s="44"/>
      <c r="K270" s="44"/>
      <c r="L270" s="44"/>
      <c r="M270" s="44"/>
      <c r="N270" s="44"/>
      <c r="O270" s="44"/>
      <c r="P270" s="45">
        <f t="shared" si="124"/>
        <v>700</v>
      </c>
      <c r="Q270" s="43">
        <v>43.41</v>
      </c>
      <c r="R270" s="43">
        <v>46.23</v>
      </c>
      <c r="S270" s="43">
        <v>44.12</v>
      </c>
      <c r="T270" s="43">
        <v>42.7</v>
      </c>
      <c r="U270" s="43">
        <v>52.26</v>
      </c>
      <c r="V270" s="43">
        <v>48.36</v>
      </c>
      <c r="W270" s="43"/>
      <c r="X270" s="43"/>
      <c r="Y270" s="43"/>
      <c r="Z270" s="43"/>
      <c r="AA270" s="43"/>
      <c r="AB270" s="43"/>
      <c r="AC270" s="46">
        <f>SUM(Q270:AB270)</f>
        <v>277.08</v>
      </c>
      <c r="AD270" s="43">
        <f>P270-AC270</f>
        <v>422.92</v>
      </c>
      <c r="AE270" s="583">
        <f>AC270*100/P270</f>
        <v>39.582857142857144</v>
      </c>
      <c r="AF270" s="599"/>
      <c r="AG270" s="598"/>
      <c r="AH270" s="597">
        <f>AF269+AG269-AH269</f>
        <v>-89143.88</v>
      </c>
    </row>
    <row r="271" spans="2:31" s="28" customFormat="1" ht="12.75">
      <c r="B271" s="33"/>
      <c r="C271" s="41"/>
      <c r="D271" s="41">
        <v>4410</v>
      </c>
      <c r="E271" s="42" t="s">
        <v>635</v>
      </c>
      <c r="F271" s="65">
        <v>500</v>
      </c>
      <c r="G271" s="43">
        <v>300</v>
      </c>
      <c r="H271" s="44"/>
      <c r="I271" s="44"/>
      <c r="J271" s="44"/>
      <c r="K271" s="44"/>
      <c r="L271" s="44"/>
      <c r="M271" s="44"/>
      <c r="N271" s="44"/>
      <c r="O271" s="44"/>
      <c r="P271" s="45">
        <f t="shared" si="124"/>
        <v>300</v>
      </c>
      <c r="Q271" s="43"/>
      <c r="R271" s="43"/>
      <c r="S271" s="43"/>
      <c r="T271" s="43">
        <v>254.14</v>
      </c>
      <c r="U271" s="43"/>
      <c r="V271" s="43"/>
      <c r="W271" s="43"/>
      <c r="X271" s="43"/>
      <c r="Y271" s="43"/>
      <c r="Z271" s="43"/>
      <c r="AA271" s="43"/>
      <c r="AB271" s="43"/>
      <c r="AC271" s="46">
        <f t="shared" si="125"/>
        <v>254.14</v>
      </c>
      <c r="AD271" s="43">
        <f t="shared" si="126"/>
        <v>45.860000000000014</v>
      </c>
      <c r="AE271" s="338">
        <f t="shared" si="104"/>
        <v>84.71333333333334</v>
      </c>
    </row>
    <row r="272" spans="2:31" s="28" customFormat="1" ht="12.75">
      <c r="B272" s="33"/>
      <c r="C272" s="41"/>
      <c r="D272" s="41">
        <v>4430</v>
      </c>
      <c r="E272" s="42" t="s">
        <v>1007</v>
      </c>
      <c r="F272" s="65">
        <v>500</v>
      </c>
      <c r="G272" s="43">
        <v>500</v>
      </c>
      <c r="H272" s="44"/>
      <c r="I272" s="44"/>
      <c r="J272" s="44"/>
      <c r="K272" s="44"/>
      <c r="L272" s="44"/>
      <c r="M272" s="44"/>
      <c r="N272" s="44"/>
      <c r="O272" s="44"/>
      <c r="P272" s="45">
        <f t="shared" si="124"/>
        <v>500</v>
      </c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6">
        <f>SUM(Q272:AB272)</f>
        <v>0</v>
      </c>
      <c r="AD272" s="43">
        <f>P272-AC272</f>
        <v>500</v>
      </c>
      <c r="AE272" s="338">
        <f>AC272*100/P272</f>
        <v>0</v>
      </c>
    </row>
    <row r="273" spans="2:31" s="28" customFormat="1" ht="25.5">
      <c r="B273" s="33"/>
      <c r="C273" s="41"/>
      <c r="D273" s="41">
        <v>4740</v>
      </c>
      <c r="E273" s="42" t="s">
        <v>616</v>
      </c>
      <c r="F273" s="65">
        <v>300</v>
      </c>
      <c r="G273" s="43">
        <v>200</v>
      </c>
      <c r="H273" s="44"/>
      <c r="I273" s="44"/>
      <c r="J273" s="44"/>
      <c r="K273" s="44"/>
      <c r="L273" s="44"/>
      <c r="M273" s="44"/>
      <c r="N273" s="44"/>
      <c r="O273" s="44"/>
      <c r="P273" s="45">
        <f t="shared" si="124"/>
        <v>200</v>
      </c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6">
        <f t="shared" si="125"/>
        <v>0</v>
      </c>
      <c r="AD273" s="43">
        <f t="shared" si="126"/>
        <v>200</v>
      </c>
      <c r="AE273" s="338">
        <f t="shared" si="104"/>
        <v>0</v>
      </c>
    </row>
    <row r="274" spans="2:31" s="28" customFormat="1" ht="25.5">
      <c r="B274" s="33"/>
      <c r="C274" s="35"/>
      <c r="D274" s="41">
        <v>6060</v>
      </c>
      <c r="E274" s="42" t="s">
        <v>573</v>
      </c>
      <c r="F274" s="63"/>
      <c r="G274" s="37"/>
      <c r="H274" s="44">
        <v>5700</v>
      </c>
      <c r="I274" s="38"/>
      <c r="J274" s="38"/>
      <c r="K274" s="38"/>
      <c r="L274" s="38"/>
      <c r="M274" s="38"/>
      <c r="N274" s="38"/>
      <c r="O274" s="38"/>
      <c r="P274" s="45">
        <f t="shared" si="124"/>
        <v>5700</v>
      </c>
      <c r="Q274" s="37"/>
      <c r="R274" s="43">
        <v>5700</v>
      </c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46">
        <f>SUM(Q274:AB274)</f>
        <v>5700</v>
      </c>
      <c r="AD274" s="43">
        <f>P274-AC274</f>
        <v>0</v>
      </c>
      <c r="AE274" s="338">
        <f t="shared" si="104"/>
        <v>100</v>
      </c>
    </row>
    <row r="275" spans="2:31" s="28" customFormat="1" ht="12.75">
      <c r="B275" s="53">
        <v>852</v>
      </c>
      <c r="C275" s="71"/>
      <c r="D275" s="71"/>
      <c r="E275" s="55" t="s">
        <v>353</v>
      </c>
      <c r="F275" s="62">
        <f>F284+F286+F290+F292+F314+F316+F276</f>
        <v>3004080</v>
      </c>
      <c r="G275" s="51">
        <f>G284+G286+G290+G292+G314+G316+G276</f>
        <v>2838180</v>
      </c>
      <c r="H275" s="62">
        <f aca="true" t="shared" si="127" ref="H275:AD275">H284+H286+H290+H292+H314+H316+H276</f>
        <v>-14300</v>
      </c>
      <c r="I275" s="52">
        <f t="shared" si="127"/>
        <v>900</v>
      </c>
      <c r="J275" s="52">
        <f t="shared" si="127"/>
        <v>10510</v>
      </c>
      <c r="K275" s="52">
        <f t="shared" si="127"/>
        <v>0</v>
      </c>
      <c r="L275" s="52">
        <f t="shared" si="127"/>
        <v>0</v>
      </c>
      <c r="M275" s="52">
        <f t="shared" si="127"/>
        <v>0</v>
      </c>
      <c r="N275" s="52">
        <f t="shared" si="127"/>
        <v>0</v>
      </c>
      <c r="O275" s="52">
        <f t="shared" si="127"/>
        <v>0</v>
      </c>
      <c r="P275" s="51">
        <f t="shared" si="127"/>
        <v>2835290</v>
      </c>
      <c r="Q275" s="51">
        <f t="shared" si="127"/>
        <v>210488.66000000003</v>
      </c>
      <c r="R275" s="51">
        <f t="shared" si="127"/>
        <v>216630.02000000002</v>
      </c>
      <c r="S275" s="51">
        <f t="shared" si="127"/>
        <v>216865.01000000004</v>
      </c>
      <c r="T275" s="51">
        <f t="shared" si="127"/>
        <v>201351.94000000006</v>
      </c>
      <c r="U275" s="51">
        <f t="shared" si="127"/>
        <v>218637.56000000006</v>
      </c>
      <c r="V275" s="51">
        <f t="shared" si="127"/>
        <v>202900.3</v>
      </c>
      <c r="W275" s="51">
        <f t="shared" si="127"/>
        <v>0</v>
      </c>
      <c r="X275" s="51">
        <f t="shared" si="127"/>
        <v>0</v>
      </c>
      <c r="Y275" s="51">
        <f t="shared" si="127"/>
        <v>0</v>
      </c>
      <c r="Z275" s="51">
        <f t="shared" si="127"/>
        <v>0</v>
      </c>
      <c r="AA275" s="51">
        <f t="shared" si="127"/>
        <v>0</v>
      </c>
      <c r="AB275" s="51">
        <f t="shared" si="127"/>
        <v>0</v>
      </c>
      <c r="AC275" s="51">
        <f t="shared" si="127"/>
        <v>1266873.4900000002</v>
      </c>
      <c r="AD275" s="51">
        <f t="shared" si="127"/>
        <v>1568416.5099999998</v>
      </c>
      <c r="AE275" s="336">
        <f t="shared" si="104"/>
        <v>44.68232491209013</v>
      </c>
    </row>
    <row r="276" spans="2:31" s="56" customFormat="1" ht="51">
      <c r="B276" s="340"/>
      <c r="C276" s="67">
        <v>85212</v>
      </c>
      <c r="D276" s="72"/>
      <c r="E276" s="36" t="s">
        <v>354</v>
      </c>
      <c r="F276" s="73">
        <f>SUM(F277:F282)</f>
        <v>1812200</v>
      </c>
      <c r="G276" s="57">
        <f>SUM(G277:G282)</f>
        <v>1812200</v>
      </c>
      <c r="H276" s="73">
        <f>SUM(H277:H282)</f>
        <v>-41100</v>
      </c>
      <c r="I276" s="58">
        <f>SUM(I277:I282)</f>
        <v>0</v>
      </c>
      <c r="J276" s="58">
        <f>SUM(J277:J283)</f>
        <v>0</v>
      </c>
      <c r="K276" s="58">
        <f>SUM(K277:K282)</f>
        <v>0</v>
      </c>
      <c r="L276" s="58">
        <f>SUM(L277:L282)</f>
        <v>0</v>
      </c>
      <c r="M276" s="58">
        <f>SUM(M277:M282)</f>
        <v>0</v>
      </c>
      <c r="N276" s="58">
        <f>SUM(N277:N282)</f>
        <v>0</v>
      </c>
      <c r="O276" s="58">
        <f>SUM(O277:O282)</f>
        <v>0</v>
      </c>
      <c r="P276" s="39">
        <f>SUM(P277:P283)</f>
        <v>1771100</v>
      </c>
      <c r="Q276" s="57">
        <f>SUM(Q277:Q282)</f>
        <v>135175.14</v>
      </c>
      <c r="R276" s="57">
        <f>SUM(R277:R282)</f>
        <v>141705.55000000002</v>
      </c>
      <c r="S276" s="57">
        <f>SUM(S277:S282)</f>
        <v>148297.09000000003</v>
      </c>
      <c r="T276" s="57">
        <f>SUM(T277:T282)</f>
        <v>133260.95000000004</v>
      </c>
      <c r="U276" s="57">
        <f>SUM(U277:U283)</f>
        <v>140954.19000000003</v>
      </c>
      <c r="V276" s="57">
        <f aca="true" t="shared" si="128" ref="V276:AB276">SUM(V277:V282)</f>
        <v>134161.61</v>
      </c>
      <c r="W276" s="57">
        <f t="shared" si="128"/>
        <v>0</v>
      </c>
      <c r="X276" s="57">
        <f t="shared" si="128"/>
        <v>0</v>
      </c>
      <c r="Y276" s="57">
        <f t="shared" si="128"/>
        <v>0</v>
      </c>
      <c r="Z276" s="57">
        <f t="shared" si="128"/>
        <v>0</v>
      </c>
      <c r="AA276" s="57">
        <f t="shared" si="128"/>
        <v>0</v>
      </c>
      <c r="AB276" s="57">
        <f t="shared" si="128"/>
        <v>0</v>
      </c>
      <c r="AC276" s="57">
        <f>SUM(AC277:AC283)</f>
        <v>833554.5300000001</v>
      </c>
      <c r="AD276" s="57">
        <f>SUM(AD277:AD283)</f>
        <v>937545.4699999999</v>
      </c>
      <c r="AE276" s="337">
        <f t="shared" si="104"/>
        <v>47.064227316357076</v>
      </c>
    </row>
    <row r="277" spans="2:31" s="56" customFormat="1" ht="12.75">
      <c r="B277" s="340"/>
      <c r="C277" s="72"/>
      <c r="D277" s="41">
        <v>3110</v>
      </c>
      <c r="E277" s="42" t="s">
        <v>672</v>
      </c>
      <c r="F277" s="61">
        <v>1757834</v>
      </c>
      <c r="G277" s="59">
        <v>1757834</v>
      </c>
      <c r="H277" s="61">
        <v>-39867</v>
      </c>
      <c r="I277" s="60"/>
      <c r="J277" s="60"/>
      <c r="K277" s="60"/>
      <c r="L277" s="60"/>
      <c r="M277" s="60"/>
      <c r="N277" s="60"/>
      <c r="O277" s="60"/>
      <c r="P277" s="45">
        <f aca="true" t="shared" si="129" ref="P277:P283">G277+H277+I277+J277+K277+L277+M277+N277+O277</f>
        <v>1717967</v>
      </c>
      <c r="Q277" s="59">
        <v>130702.62</v>
      </c>
      <c r="R277" s="59">
        <v>137805.82</v>
      </c>
      <c r="S277" s="59">
        <v>144403.26</v>
      </c>
      <c r="T277" s="59">
        <v>129115.22</v>
      </c>
      <c r="U277" s="59">
        <v>136346.26</v>
      </c>
      <c r="V277" s="59">
        <v>129742.46</v>
      </c>
      <c r="W277" s="59"/>
      <c r="X277" s="59"/>
      <c r="Y277" s="59"/>
      <c r="Z277" s="59"/>
      <c r="AA277" s="59"/>
      <c r="AB277" s="59"/>
      <c r="AC277" s="46">
        <f aca="true" t="shared" si="130" ref="AC277:AC282">SUM(Q277:AB277)</f>
        <v>808115.64</v>
      </c>
      <c r="AD277" s="43">
        <f aca="true" t="shared" si="131" ref="AD277:AD282">P277-AC277</f>
        <v>909851.36</v>
      </c>
      <c r="AE277" s="338">
        <f t="shared" si="104"/>
        <v>47.03906652456072</v>
      </c>
    </row>
    <row r="278" spans="2:31" s="56" customFormat="1" ht="12.75">
      <c r="B278" s="340"/>
      <c r="C278" s="72"/>
      <c r="D278" s="41">
        <v>4010</v>
      </c>
      <c r="E278" s="42" t="s">
        <v>631</v>
      </c>
      <c r="F278" s="61">
        <v>34821</v>
      </c>
      <c r="G278" s="59">
        <v>34821</v>
      </c>
      <c r="H278" s="61">
        <v>-199</v>
      </c>
      <c r="I278" s="60"/>
      <c r="J278" s="60"/>
      <c r="K278" s="60"/>
      <c r="L278" s="60"/>
      <c r="M278" s="60"/>
      <c r="N278" s="60"/>
      <c r="O278" s="60"/>
      <c r="P278" s="45">
        <f t="shared" si="129"/>
        <v>34622</v>
      </c>
      <c r="Q278" s="59">
        <v>2901.75</v>
      </c>
      <c r="R278" s="59">
        <v>2883.66</v>
      </c>
      <c r="S278" s="59">
        <v>2883.66</v>
      </c>
      <c r="T278" s="59">
        <v>2883.66</v>
      </c>
      <c r="U278" s="59">
        <v>2883.66</v>
      </c>
      <c r="V278" s="59">
        <v>2883.66</v>
      </c>
      <c r="W278" s="59"/>
      <c r="X278" s="59"/>
      <c r="Y278" s="59"/>
      <c r="Z278" s="59"/>
      <c r="AA278" s="59"/>
      <c r="AB278" s="59"/>
      <c r="AC278" s="46">
        <f t="shared" si="130"/>
        <v>17320.05</v>
      </c>
      <c r="AD278" s="43">
        <f t="shared" si="131"/>
        <v>17301.95</v>
      </c>
      <c r="AE278" s="338">
        <f t="shared" si="104"/>
        <v>50.02613944890532</v>
      </c>
    </row>
    <row r="279" spans="2:31" s="56" customFormat="1" ht="12.75">
      <c r="B279" s="340"/>
      <c r="C279" s="72"/>
      <c r="D279" s="41">
        <v>4110</v>
      </c>
      <c r="E279" s="42" t="s">
        <v>632</v>
      </c>
      <c r="F279" s="61">
        <v>5954</v>
      </c>
      <c r="G279" s="59">
        <v>5954</v>
      </c>
      <c r="H279" s="61">
        <v>-726</v>
      </c>
      <c r="I279" s="60"/>
      <c r="J279" s="60"/>
      <c r="K279" s="60"/>
      <c r="L279" s="60"/>
      <c r="M279" s="60"/>
      <c r="N279" s="60"/>
      <c r="O279" s="60"/>
      <c r="P279" s="45">
        <f t="shared" si="129"/>
        <v>5228</v>
      </c>
      <c r="Q279" s="59">
        <v>496.17</v>
      </c>
      <c r="R279" s="59">
        <v>430.17</v>
      </c>
      <c r="S279" s="59">
        <v>430.17</v>
      </c>
      <c r="T279" s="59">
        <v>430.17</v>
      </c>
      <c r="U279" s="59">
        <v>430.17</v>
      </c>
      <c r="V279" s="59">
        <v>430.17</v>
      </c>
      <c r="W279" s="59"/>
      <c r="X279" s="59"/>
      <c r="Y279" s="59"/>
      <c r="Z279" s="59"/>
      <c r="AA279" s="59"/>
      <c r="AB279" s="59"/>
      <c r="AC279" s="46">
        <f t="shared" si="130"/>
        <v>2647.02</v>
      </c>
      <c r="AD279" s="43">
        <f t="shared" si="131"/>
        <v>2580.98</v>
      </c>
      <c r="AE279" s="338">
        <f t="shared" si="104"/>
        <v>50.631599081866874</v>
      </c>
    </row>
    <row r="280" spans="2:31" s="56" customFormat="1" ht="12.75">
      <c r="B280" s="340"/>
      <c r="C280" s="72"/>
      <c r="D280" s="41">
        <v>4210</v>
      </c>
      <c r="E280" s="42" t="s">
        <v>998</v>
      </c>
      <c r="F280" s="61">
        <v>2400</v>
      </c>
      <c r="G280" s="59">
        <v>2400</v>
      </c>
      <c r="H280" s="61">
        <v>-308</v>
      </c>
      <c r="I280" s="60"/>
      <c r="J280" s="61">
        <v>-1000</v>
      </c>
      <c r="K280" s="60"/>
      <c r="L280" s="60"/>
      <c r="M280" s="60"/>
      <c r="N280" s="60"/>
      <c r="O280" s="60"/>
      <c r="P280" s="45">
        <f t="shared" si="129"/>
        <v>1092</v>
      </c>
      <c r="Q280" s="59"/>
      <c r="R280" s="59"/>
      <c r="S280" s="59"/>
      <c r="T280" s="59"/>
      <c r="U280" s="59"/>
      <c r="V280" s="59">
        <v>538.02</v>
      </c>
      <c r="W280" s="59"/>
      <c r="X280" s="59"/>
      <c r="Y280" s="59"/>
      <c r="Z280" s="59"/>
      <c r="AA280" s="59"/>
      <c r="AB280" s="59"/>
      <c r="AC280" s="46">
        <f t="shared" si="130"/>
        <v>538.02</v>
      </c>
      <c r="AD280" s="43">
        <f t="shared" si="131"/>
        <v>553.98</v>
      </c>
      <c r="AE280" s="338">
        <f t="shared" si="104"/>
        <v>49.26923076923077</v>
      </c>
    </row>
    <row r="281" spans="2:31" s="56" customFormat="1" ht="12.75">
      <c r="B281" s="340"/>
      <c r="C281" s="72"/>
      <c r="D281" s="41">
        <v>4300</v>
      </c>
      <c r="E281" s="42" t="s">
        <v>1000</v>
      </c>
      <c r="F281" s="61">
        <v>11000</v>
      </c>
      <c r="G281" s="59">
        <v>11000</v>
      </c>
      <c r="H281" s="61"/>
      <c r="I281" s="60"/>
      <c r="J281" s="60"/>
      <c r="K281" s="60"/>
      <c r="L281" s="60"/>
      <c r="M281" s="60"/>
      <c r="N281" s="60"/>
      <c r="O281" s="60"/>
      <c r="P281" s="45">
        <f t="shared" si="129"/>
        <v>11000</v>
      </c>
      <c r="Q281" s="59">
        <v>1045.4</v>
      </c>
      <c r="R281" s="59">
        <v>585.9</v>
      </c>
      <c r="S281" s="59">
        <v>580</v>
      </c>
      <c r="T281" s="59">
        <v>800.7</v>
      </c>
      <c r="U281" s="59">
        <v>1064.1</v>
      </c>
      <c r="V281" s="59">
        <v>567.3</v>
      </c>
      <c r="W281" s="59"/>
      <c r="X281" s="59"/>
      <c r="Y281" s="59"/>
      <c r="Z281" s="59"/>
      <c r="AA281" s="59"/>
      <c r="AB281" s="59"/>
      <c r="AC281" s="46">
        <f t="shared" si="130"/>
        <v>4643.4</v>
      </c>
      <c r="AD281" s="43">
        <f t="shared" si="131"/>
        <v>6356.6</v>
      </c>
      <c r="AE281" s="338">
        <f t="shared" si="104"/>
        <v>42.212727272727264</v>
      </c>
    </row>
    <row r="282" spans="2:31" s="56" customFormat="1" ht="12.75">
      <c r="B282" s="340"/>
      <c r="C282" s="72"/>
      <c r="D282" s="41">
        <v>4410</v>
      </c>
      <c r="E282" s="42" t="s">
        <v>635</v>
      </c>
      <c r="F282" s="61">
        <v>191</v>
      </c>
      <c r="G282" s="59">
        <v>191</v>
      </c>
      <c r="H282" s="61"/>
      <c r="I282" s="60"/>
      <c r="J282" s="60"/>
      <c r="K282" s="60"/>
      <c r="L282" s="60"/>
      <c r="M282" s="60"/>
      <c r="N282" s="60"/>
      <c r="O282" s="60"/>
      <c r="P282" s="45">
        <f t="shared" si="129"/>
        <v>191</v>
      </c>
      <c r="Q282" s="59">
        <v>29.2</v>
      </c>
      <c r="R282" s="59"/>
      <c r="S282" s="59"/>
      <c r="T282" s="59">
        <v>31.2</v>
      </c>
      <c r="U282" s="59"/>
      <c r="V282" s="59"/>
      <c r="W282" s="59"/>
      <c r="X282" s="59"/>
      <c r="Y282" s="59"/>
      <c r="Z282" s="59"/>
      <c r="AA282" s="59"/>
      <c r="AB282" s="59"/>
      <c r="AC282" s="46">
        <f t="shared" si="130"/>
        <v>60.4</v>
      </c>
      <c r="AD282" s="43">
        <f t="shared" si="131"/>
        <v>130.6</v>
      </c>
      <c r="AE282" s="338">
        <f t="shared" si="104"/>
        <v>31.623036649214658</v>
      </c>
    </row>
    <row r="283" spans="2:31" s="56" customFormat="1" ht="63.75">
      <c r="B283" s="340"/>
      <c r="C283" s="72"/>
      <c r="D283" s="41">
        <v>4700</v>
      </c>
      <c r="E283" s="42" t="s">
        <v>805</v>
      </c>
      <c r="F283" s="42" t="s">
        <v>805</v>
      </c>
      <c r="G283" s="59"/>
      <c r="H283" s="61"/>
      <c r="I283" s="60"/>
      <c r="J283" s="60">
        <v>1000</v>
      </c>
      <c r="K283" s="60"/>
      <c r="L283" s="60"/>
      <c r="M283" s="60"/>
      <c r="N283" s="60"/>
      <c r="O283" s="60"/>
      <c r="P283" s="45">
        <f t="shared" si="129"/>
        <v>1000</v>
      </c>
      <c r="Q283" s="59"/>
      <c r="R283" s="59"/>
      <c r="S283" s="59"/>
      <c r="T283" s="59"/>
      <c r="U283" s="59">
        <v>230</v>
      </c>
      <c r="V283" s="59"/>
      <c r="W283" s="59"/>
      <c r="X283" s="59"/>
      <c r="Y283" s="59"/>
      <c r="Z283" s="59"/>
      <c r="AA283" s="59"/>
      <c r="AB283" s="59"/>
      <c r="AC283" s="46">
        <f>SUM(Q283:AB283)</f>
        <v>230</v>
      </c>
      <c r="AD283" s="43">
        <f>P283-AC283</f>
        <v>770</v>
      </c>
      <c r="AE283" s="338">
        <f t="shared" si="104"/>
        <v>23</v>
      </c>
    </row>
    <row r="284" spans="2:31" s="56" customFormat="1" ht="51">
      <c r="B284" s="340"/>
      <c r="C284" s="35">
        <v>85213</v>
      </c>
      <c r="D284" s="35"/>
      <c r="E284" s="36" t="s">
        <v>562</v>
      </c>
      <c r="F284" s="63">
        <f aca="true" t="shared" si="132" ref="F284:AD284">F285</f>
        <v>11200</v>
      </c>
      <c r="G284" s="37">
        <f t="shared" si="132"/>
        <v>11200</v>
      </c>
      <c r="H284" s="38">
        <f t="shared" si="132"/>
        <v>0</v>
      </c>
      <c r="I284" s="38">
        <f t="shared" si="132"/>
        <v>0</v>
      </c>
      <c r="J284" s="38">
        <f t="shared" si="132"/>
        <v>0</v>
      </c>
      <c r="K284" s="38">
        <f t="shared" si="132"/>
        <v>0</v>
      </c>
      <c r="L284" s="38">
        <f t="shared" si="132"/>
        <v>0</v>
      </c>
      <c r="M284" s="38">
        <f t="shared" si="132"/>
        <v>0</v>
      </c>
      <c r="N284" s="38">
        <f t="shared" si="132"/>
        <v>0</v>
      </c>
      <c r="O284" s="38">
        <f t="shared" si="132"/>
        <v>0</v>
      </c>
      <c r="P284" s="39">
        <f>P285</f>
        <v>11200</v>
      </c>
      <c r="Q284" s="37">
        <f t="shared" si="132"/>
        <v>694.49</v>
      </c>
      <c r="R284" s="37">
        <f t="shared" si="132"/>
        <v>698.9000000000001</v>
      </c>
      <c r="S284" s="37">
        <f t="shared" si="132"/>
        <v>698.9000000000001</v>
      </c>
      <c r="T284" s="37">
        <f t="shared" si="132"/>
        <v>698.9000000000001</v>
      </c>
      <c r="U284" s="37">
        <f t="shared" si="132"/>
        <v>698.9000000000001</v>
      </c>
      <c r="V284" s="37">
        <f t="shared" si="132"/>
        <v>678.64</v>
      </c>
      <c r="W284" s="37">
        <f t="shared" si="132"/>
        <v>0</v>
      </c>
      <c r="X284" s="37">
        <f t="shared" si="132"/>
        <v>0</v>
      </c>
      <c r="Y284" s="37">
        <f t="shared" si="132"/>
        <v>0</v>
      </c>
      <c r="Z284" s="37">
        <f t="shared" si="132"/>
        <v>0</v>
      </c>
      <c r="AA284" s="37">
        <f t="shared" si="132"/>
        <v>0</v>
      </c>
      <c r="AB284" s="37">
        <f t="shared" si="132"/>
        <v>0</v>
      </c>
      <c r="AC284" s="37">
        <f t="shared" si="132"/>
        <v>4168.7300000000005</v>
      </c>
      <c r="AD284" s="37">
        <f t="shared" si="132"/>
        <v>7031.2699999999995</v>
      </c>
      <c r="AE284" s="337">
        <f aca="true" t="shared" si="133" ref="AE284:AE348">AC284*100/P284</f>
        <v>37.220803571428576</v>
      </c>
    </row>
    <row r="285" spans="2:31" s="56" customFormat="1" ht="12.75">
      <c r="B285" s="340"/>
      <c r="C285" s="72"/>
      <c r="D285" s="41">
        <v>4130</v>
      </c>
      <c r="E285" s="42" t="s">
        <v>673</v>
      </c>
      <c r="F285" s="61">
        <v>11200</v>
      </c>
      <c r="G285" s="59">
        <v>11200</v>
      </c>
      <c r="H285" s="60"/>
      <c r="I285" s="60"/>
      <c r="J285" s="60"/>
      <c r="K285" s="60"/>
      <c r="L285" s="60"/>
      <c r="M285" s="60"/>
      <c r="N285" s="60"/>
      <c r="O285" s="60"/>
      <c r="P285" s="45">
        <f>G285+H285+I285+J285+K285+L285+M285+N285+O285</f>
        <v>11200</v>
      </c>
      <c r="Q285" s="59">
        <f>453.6+240.89</f>
        <v>694.49</v>
      </c>
      <c r="R285" s="59">
        <f>453.6+245.3</f>
        <v>698.9000000000001</v>
      </c>
      <c r="S285" s="59">
        <f>453.6+245.3</f>
        <v>698.9000000000001</v>
      </c>
      <c r="T285" s="59">
        <f>453.6+245.3</f>
        <v>698.9000000000001</v>
      </c>
      <c r="U285" s="59">
        <f>453.6+245.3</f>
        <v>698.9000000000001</v>
      </c>
      <c r="V285" s="59">
        <f>453.6+225.04</f>
        <v>678.64</v>
      </c>
      <c r="W285" s="59"/>
      <c r="X285" s="59"/>
      <c r="Y285" s="59"/>
      <c r="Z285" s="59"/>
      <c r="AA285" s="59"/>
      <c r="AB285" s="59"/>
      <c r="AC285" s="46">
        <f>SUM(Q285:AB285)</f>
        <v>4168.7300000000005</v>
      </c>
      <c r="AD285" s="43">
        <f>P285-AC285</f>
        <v>7031.2699999999995</v>
      </c>
      <c r="AE285" s="338">
        <f t="shared" si="133"/>
        <v>37.220803571428576</v>
      </c>
    </row>
    <row r="286" spans="2:31" s="28" customFormat="1" ht="25.5">
      <c r="B286" s="33"/>
      <c r="C286" s="35">
        <v>85214</v>
      </c>
      <c r="D286" s="35"/>
      <c r="E286" s="36" t="s">
        <v>563</v>
      </c>
      <c r="F286" s="63">
        <f>SUM(F287:F289)</f>
        <v>372100</v>
      </c>
      <c r="G286" s="37">
        <f>SUM(G287:G289)</f>
        <v>242500</v>
      </c>
      <c r="H286" s="38">
        <f>SUM(H287:H289)</f>
        <v>26800</v>
      </c>
      <c r="I286" s="38">
        <f aca="true" t="shared" si="134" ref="I286:O286">SUM(I287:I289)</f>
        <v>0</v>
      </c>
      <c r="J286" s="38">
        <f t="shared" si="134"/>
        <v>0</v>
      </c>
      <c r="K286" s="38">
        <f t="shared" si="134"/>
        <v>0</v>
      </c>
      <c r="L286" s="38">
        <f t="shared" si="134"/>
        <v>0</v>
      </c>
      <c r="M286" s="38">
        <f t="shared" si="134"/>
        <v>0</v>
      </c>
      <c r="N286" s="38">
        <f t="shared" si="134"/>
        <v>0</v>
      </c>
      <c r="O286" s="38">
        <f t="shared" si="134"/>
        <v>0</v>
      </c>
      <c r="P286" s="39">
        <f>SUM(P287:P289)</f>
        <v>269300</v>
      </c>
      <c r="Q286" s="37">
        <f>SUM(Q287:Q289)</f>
        <v>12929.48</v>
      </c>
      <c r="R286" s="37">
        <f aca="true" t="shared" si="135" ref="R286:AB286">SUM(R287:R289)</f>
        <v>14830.54</v>
      </c>
      <c r="S286" s="37">
        <f t="shared" si="135"/>
        <v>18637.690000000002</v>
      </c>
      <c r="T286" s="37">
        <f t="shared" si="135"/>
        <v>15621.470000000001</v>
      </c>
      <c r="U286" s="37">
        <f t="shared" si="135"/>
        <v>19256.51</v>
      </c>
      <c r="V286" s="37">
        <f t="shared" si="135"/>
        <v>18305.43</v>
      </c>
      <c r="W286" s="37">
        <f t="shared" si="135"/>
        <v>0</v>
      </c>
      <c r="X286" s="37">
        <f t="shared" si="135"/>
        <v>0</v>
      </c>
      <c r="Y286" s="37">
        <f t="shared" si="135"/>
        <v>0</v>
      </c>
      <c r="Z286" s="37">
        <f t="shared" si="135"/>
        <v>0</v>
      </c>
      <c r="AA286" s="37">
        <f t="shared" si="135"/>
        <v>0</v>
      </c>
      <c r="AB286" s="37">
        <f t="shared" si="135"/>
        <v>0</v>
      </c>
      <c r="AC286" s="37">
        <f>AC287+AC288+AC289</f>
        <v>99581.12</v>
      </c>
      <c r="AD286" s="37">
        <f>AD287+AD288+AD289</f>
        <v>169718.88</v>
      </c>
      <c r="AE286" s="337">
        <f t="shared" si="133"/>
        <v>36.97776457482362</v>
      </c>
    </row>
    <row r="287" spans="2:31" s="28" customFormat="1" ht="12.75">
      <c r="B287" s="33"/>
      <c r="C287" s="41"/>
      <c r="D287" s="41">
        <v>3110</v>
      </c>
      <c r="E287" s="42" t="s">
        <v>672</v>
      </c>
      <c r="F287" s="65">
        <v>239000</v>
      </c>
      <c r="G287" s="43">
        <f>239000-100000</f>
        <v>139000</v>
      </c>
      <c r="H287" s="44">
        <f>31000+3000-7200</f>
        <v>26800</v>
      </c>
      <c r="I287" s="44"/>
      <c r="J287" s="44"/>
      <c r="K287" s="44"/>
      <c r="L287" s="44"/>
      <c r="M287" s="44"/>
      <c r="N287" s="44"/>
      <c r="O287" s="44"/>
      <c r="P287" s="45">
        <f>G287+H287+I287+J287+K287+L287+M287+N287+O287</f>
        <v>165800</v>
      </c>
      <c r="Q287" s="43">
        <v>8548.39</v>
      </c>
      <c r="R287" s="43">
        <v>10449.45</v>
      </c>
      <c r="S287" s="43">
        <v>12661.36</v>
      </c>
      <c r="T287" s="43">
        <v>10364.08</v>
      </c>
      <c r="U287" s="43">
        <v>7632.95</v>
      </c>
      <c r="V287" s="43">
        <v>11206.45</v>
      </c>
      <c r="W287" s="43"/>
      <c r="X287" s="43"/>
      <c r="Y287" s="43"/>
      <c r="Z287" s="43"/>
      <c r="AA287" s="43"/>
      <c r="AB287" s="43"/>
      <c r="AC287" s="46">
        <f>SUM(Q287:AB287)</f>
        <v>60862.67999999999</v>
      </c>
      <c r="AD287" s="43">
        <f>P287-AC287</f>
        <v>104937.32</v>
      </c>
      <c r="AE287" s="338">
        <f t="shared" si="133"/>
        <v>36.70849215922798</v>
      </c>
    </row>
    <row r="288" spans="2:31" s="28" customFormat="1" ht="12.75">
      <c r="B288" s="33"/>
      <c r="C288" s="41"/>
      <c r="D288" s="41">
        <v>4110</v>
      </c>
      <c r="E288" s="42" t="s">
        <v>746</v>
      </c>
      <c r="F288" s="65">
        <v>3500</v>
      </c>
      <c r="G288" s="43">
        <v>3500</v>
      </c>
      <c r="H288" s="44"/>
      <c r="I288" s="44"/>
      <c r="J288" s="44"/>
      <c r="K288" s="44"/>
      <c r="L288" s="44"/>
      <c r="M288" s="44"/>
      <c r="N288" s="44"/>
      <c r="O288" s="44"/>
      <c r="P288" s="45">
        <f>G288+H288+I288+J288+K288+L288+M288+N288+O288</f>
        <v>3500</v>
      </c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6">
        <f>SUM(Q288:AB288)</f>
        <v>0</v>
      </c>
      <c r="AD288" s="43">
        <f>P288-AC288</f>
        <v>3500</v>
      </c>
      <c r="AE288" s="338">
        <f t="shared" si="133"/>
        <v>0</v>
      </c>
    </row>
    <row r="289" spans="2:31" s="28" customFormat="1" ht="38.25">
      <c r="B289" s="33"/>
      <c r="C289" s="41"/>
      <c r="D289" s="41">
        <v>4330</v>
      </c>
      <c r="E289" s="42" t="s">
        <v>747</v>
      </c>
      <c r="F289" s="65">
        <v>129600</v>
      </c>
      <c r="G289" s="43">
        <v>100000</v>
      </c>
      <c r="H289" s="44"/>
      <c r="I289" s="44"/>
      <c r="J289" s="44"/>
      <c r="K289" s="44"/>
      <c r="L289" s="44"/>
      <c r="M289" s="44"/>
      <c r="N289" s="44"/>
      <c r="O289" s="44"/>
      <c r="P289" s="45">
        <f>G289+H289+I289+J289+K289+L289+M289+N289+O289</f>
        <v>100000</v>
      </c>
      <c r="Q289" s="43">
        <v>4381.09</v>
      </c>
      <c r="R289" s="43">
        <v>4381.09</v>
      </c>
      <c r="S289" s="43">
        <v>5976.33</v>
      </c>
      <c r="T289" s="43">
        <v>5257.39</v>
      </c>
      <c r="U289" s="43">
        <v>11623.56</v>
      </c>
      <c r="V289" s="43">
        <v>7098.98</v>
      </c>
      <c r="W289" s="43"/>
      <c r="X289" s="43"/>
      <c r="Y289" s="43"/>
      <c r="Z289" s="43"/>
      <c r="AA289" s="43"/>
      <c r="AB289" s="43"/>
      <c r="AC289" s="46">
        <f>SUM(Q289:AB289)</f>
        <v>38718.44</v>
      </c>
      <c r="AD289" s="43">
        <f>P289-AC289</f>
        <v>61281.56</v>
      </c>
      <c r="AE289" s="338">
        <f t="shared" si="133"/>
        <v>38.71844</v>
      </c>
    </row>
    <row r="290" spans="2:31" s="28" customFormat="1" ht="12.75">
      <c r="B290" s="33"/>
      <c r="C290" s="35">
        <v>85215</v>
      </c>
      <c r="D290" s="35"/>
      <c r="E290" s="36" t="s">
        <v>748</v>
      </c>
      <c r="F290" s="63">
        <f aca="true" t="shared" si="136" ref="F290:AD290">SUM(F291)</f>
        <v>200000</v>
      </c>
      <c r="G290" s="37">
        <f t="shared" si="136"/>
        <v>190000</v>
      </c>
      <c r="H290" s="38">
        <f t="shared" si="136"/>
        <v>0</v>
      </c>
      <c r="I290" s="38">
        <f t="shared" si="136"/>
        <v>0</v>
      </c>
      <c r="J290" s="38">
        <f t="shared" si="136"/>
        <v>0</v>
      </c>
      <c r="K290" s="38">
        <f t="shared" si="136"/>
        <v>0</v>
      </c>
      <c r="L290" s="38">
        <f t="shared" si="136"/>
        <v>0</v>
      </c>
      <c r="M290" s="38">
        <f t="shared" si="136"/>
        <v>0</v>
      </c>
      <c r="N290" s="38">
        <f t="shared" si="136"/>
        <v>0</v>
      </c>
      <c r="O290" s="38">
        <f t="shared" si="136"/>
        <v>0</v>
      </c>
      <c r="P290" s="39">
        <f>SUM(P291)</f>
        <v>190000</v>
      </c>
      <c r="Q290" s="37">
        <f t="shared" si="136"/>
        <v>13321.89</v>
      </c>
      <c r="R290" s="37">
        <f t="shared" si="136"/>
        <v>12852.57</v>
      </c>
      <c r="S290" s="37">
        <f t="shared" si="136"/>
        <v>10866.22</v>
      </c>
      <c r="T290" s="37">
        <f t="shared" si="136"/>
        <v>10356.48</v>
      </c>
      <c r="U290" s="37">
        <f t="shared" si="136"/>
        <v>11210.85</v>
      </c>
      <c r="V290" s="37">
        <f t="shared" si="136"/>
        <v>10282.07</v>
      </c>
      <c r="W290" s="37">
        <f t="shared" si="136"/>
        <v>0</v>
      </c>
      <c r="X290" s="37">
        <f t="shared" si="136"/>
        <v>0</v>
      </c>
      <c r="Y290" s="37">
        <f t="shared" si="136"/>
        <v>0</v>
      </c>
      <c r="Z290" s="37">
        <f t="shared" si="136"/>
        <v>0</v>
      </c>
      <c r="AA290" s="37">
        <f t="shared" si="136"/>
        <v>0</v>
      </c>
      <c r="AB290" s="37">
        <f t="shared" si="136"/>
        <v>0</v>
      </c>
      <c r="AC290" s="37">
        <f t="shared" si="136"/>
        <v>68890.08</v>
      </c>
      <c r="AD290" s="37">
        <f t="shared" si="136"/>
        <v>121109.92</v>
      </c>
      <c r="AE290" s="337">
        <f t="shared" si="133"/>
        <v>36.257936842105266</v>
      </c>
    </row>
    <row r="291" spans="2:31" s="28" customFormat="1" ht="12.75">
      <c r="B291" s="33"/>
      <c r="C291" s="41"/>
      <c r="D291" s="41">
        <v>3110</v>
      </c>
      <c r="E291" s="42" t="s">
        <v>672</v>
      </c>
      <c r="F291" s="65">
        <v>200000</v>
      </c>
      <c r="G291" s="43">
        <v>190000</v>
      </c>
      <c r="H291" s="44"/>
      <c r="I291" s="44"/>
      <c r="J291" s="44"/>
      <c r="K291" s="44"/>
      <c r="L291" s="44"/>
      <c r="M291" s="44"/>
      <c r="N291" s="44"/>
      <c r="O291" s="44"/>
      <c r="P291" s="45">
        <f>G291+H291+I291+J291+K291+L291+M291+N291+O291</f>
        <v>190000</v>
      </c>
      <c r="Q291" s="43">
        <v>13321.89</v>
      </c>
      <c r="R291" s="43">
        <v>12852.57</v>
      </c>
      <c r="S291" s="43">
        <v>10866.22</v>
      </c>
      <c r="T291" s="43">
        <v>10356.48</v>
      </c>
      <c r="U291" s="43">
        <v>11210.85</v>
      </c>
      <c r="V291" s="43">
        <v>10282.07</v>
      </c>
      <c r="W291" s="43"/>
      <c r="X291" s="43"/>
      <c r="Y291" s="43"/>
      <c r="Z291" s="43"/>
      <c r="AA291" s="43"/>
      <c r="AB291" s="43"/>
      <c r="AC291" s="46">
        <f>SUM(Q291:AB291)</f>
        <v>68890.08</v>
      </c>
      <c r="AD291" s="43">
        <f>P291-AC291</f>
        <v>121109.92</v>
      </c>
      <c r="AE291" s="338">
        <f t="shared" si="133"/>
        <v>36.257936842105266</v>
      </c>
    </row>
    <row r="292" spans="2:31" s="28" customFormat="1" ht="12.75">
      <c r="B292" s="33"/>
      <c r="C292" s="35">
        <v>85219</v>
      </c>
      <c r="D292" s="35"/>
      <c r="E292" s="36" t="s">
        <v>564</v>
      </c>
      <c r="F292" s="63">
        <f>SUM(F293:F313)</f>
        <v>512580</v>
      </c>
      <c r="G292" s="37">
        <f>SUM(G293:G313)</f>
        <v>506280</v>
      </c>
      <c r="H292" s="38">
        <f>SUM(H293:H313)</f>
        <v>0</v>
      </c>
      <c r="I292" s="38">
        <f aca="true" t="shared" si="137" ref="I292:O292">SUM(I293:I313)</f>
        <v>0</v>
      </c>
      <c r="J292" s="38">
        <f t="shared" si="137"/>
        <v>4350</v>
      </c>
      <c r="K292" s="38">
        <f t="shared" si="137"/>
        <v>0</v>
      </c>
      <c r="L292" s="38">
        <f t="shared" si="137"/>
        <v>0</v>
      </c>
      <c r="M292" s="38">
        <f t="shared" si="137"/>
        <v>0</v>
      </c>
      <c r="N292" s="38">
        <f t="shared" si="137"/>
        <v>0</v>
      </c>
      <c r="O292" s="38">
        <f t="shared" si="137"/>
        <v>0</v>
      </c>
      <c r="P292" s="39">
        <f>SUM(P293:P313)</f>
        <v>510630</v>
      </c>
      <c r="Q292" s="37">
        <f>SUM(Q293:Q313)</f>
        <v>43566.71</v>
      </c>
      <c r="R292" s="37">
        <f aca="true" t="shared" si="138" ref="R292:AB292">SUM(R293:R313)</f>
        <v>41158.21000000001</v>
      </c>
      <c r="S292" s="37">
        <f t="shared" si="138"/>
        <v>32446.539999999997</v>
      </c>
      <c r="T292" s="37">
        <f t="shared" si="138"/>
        <v>33885.47</v>
      </c>
      <c r="U292" s="37">
        <f t="shared" si="138"/>
        <v>39630.369999999995</v>
      </c>
      <c r="V292" s="37">
        <f t="shared" si="138"/>
        <v>34715.049999999996</v>
      </c>
      <c r="W292" s="37">
        <f t="shared" si="138"/>
        <v>0</v>
      </c>
      <c r="X292" s="37">
        <f t="shared" si="138"/>
        <v>0</v>
      </c>
      <c r="Y292" s="37">
        <f t="shared" si="138"/>
        <v>0</v>
      </c>
      <c r="Z292" s="37">
        <f t="shared" si="138"/>
        <v>0</v>
      </c>
      <c r="AA292" s="37">
        <f t="shared" si="138"/>
        <v>0</v>
      </c>
      <c r="AB292" s="37">
        <f t="shared" si="138"/>
        <v>0</v>
      </c>
      <c r="AC292" s="37">
        <f>SUM(AC293:AC313)</f>
        <v>225402.35</v>
      </c>
      <c r="AD292" s="37">
        <f>SUM(AD293:AD313)</f>
        <v>285227.65</v>
      </c>
      <c r="AE292" s="337">
        <f t="shared" si="133"/>
        <v>44.14201084934297</v>
      </c>
    </row>
    <row r="293" spans="2:31" s="28" customFormat="1" ht="25.5">
      <c r="B293" s="33"/>
      <c r="C293" s="41"/>
      <c r="D293" s="41">
        <v>3020</v>
      </c>
      <c r="E293" s="42" t="s">
        <v>637</v>
      </c>
      <c r="F293" s="65">
        <v>6000</v>
      </c>
      <c r="G293" s="43">
        <v>6000</v>
      </c>
      <c r="H293" s="44"/>
      <c r="I293" s="44"/>
      <c r="J293" s="44"/>
      <c r="K293" s="44"/>
      <c r="L293" s="44"/>
      <c r="M293" s="44"/>
      <c r="N293" s="44"/>
      <c r="O293" s="44"/>
      <c r="P293" s="45">
        <f aca="true" t="shared" si="139" ref="P293:P313">G293+H293+I293+J293+K293+L293+M293+N293+O293</f>
        <v>6000</v>
      </c>
      <c r="Q293" s="43">
        <v>48</v>
      </c>
      <c r="R293" s="43">
        <v>64</v>
      </c>
      <c r="S293" s="43">
        <v>329.2</v>
      </c>
      <c r="T293" s="43">
        <v>48</v>
      </c>
      <c r="U293" s="43">
        <v>48</v>
      </c>
      <c r="V293" s="43">
        <v>64</v>
      </c>
      <c r="W293" s="43"/>
      <c r="X293" s="43"/>
      <c r="Y293" s="43"/>
      <c r="Z293" s="43"/>
      <c r="AA293" s="43"/>
      <c r="AB293" s="43"/>
      <c r="AC293" s="46">
        <f aca="true" t="shared" si="140" ref="AC293:AC313">SUM(Q293:AB293)</f>
        <v>601.2</v>
      </c>
      <c r="AD293" s="43">
        <f aca="true" t="shared" si="141" ref="AD293:AD313">P293-AC293</f>
        <v>5398.8</v>
      </c>
      <c r="AE293" s="338">
        <f t="shared" si="133"/>
        <v>10.020000000000001</v>
      </c>
    </row>
    <row r="294" spans="2:31" s="28" customFormat="1" ht="12.75">
      <c r="B294" s="33"/>
      <c r="C294" s="41"/>
      <c r="D294" s="41">
        <v>4010</v>
      </c>
      <c r="E294" s="42" t="s">
        <v>631</v>
      </c>
      <c r="F294" s="65">
        <v>322780</v>
      </c>
      <c r="G294" s="43">
        <v>322780</v>
      </c>
      <c r="H294" s="44"/>
      <c r="I294" s="44"/>
      <c r="J294" s="44">
        <v>4350</v>
      </c>
      <c r="K294" s="44"/>
      <c r="L294" s="44"/>
      <c r="M294" s="44"/>
      <c r="N294" s="44"/>
      <c r="O294" s="44"/>
      <c r="P294" s="45">
        <f t="shared" si="139"/>
        <v>327130</v>
      </c>
      <c r="Q294" s="44">
        <v>21795.47</v>
      </c>
      <c r="R294" s="44">
        <v>21317.37</v>
      </c>
      <c r="S294" s="44">
        <v>20834.68</v>
      </c>
      <c r="T294" s="44">
        <f>24788.73</f>
        <v>24788.73</v>
      </c>
      <c r="U294" s="43">
        <v>24086.96</v>
      </c>
      <c r="V294" s="43">
        <v>23125.43</v>
      </c>
      <c r="W294" s="43"/>
      <c r="X294" s="43"/>
      <c r="Y294" s="43"/>
      <c r="Z294" s="43"/>
      <c r="AA294" s="43"/>
      <c r="AB294" s="43"/>
      <c r="AC294" s="46">
        <f t="shared" si="140"/>
        <v>135948.63999999998</v>
      </c>
      <c r="AD294" s="43">
        <f t="shared" si="141"/>
        <v>191181.36000000002</v>
      </c>
      <c r="AE294" s="338">
        <f t="shared" si="133"/>
        <v>41.5579861217253</v>
      </c>
    </row>
    <row r="295" spans="2:31" s="28" customFormat="1" ht="12.75">
      <c r="B295" s="33"/>
      <c r="C295" s="41"/>
      <c r="D295" s="41">
        <v>4040</v>
      </c>
      <c r="E295" s="42" t="s">
        <v>638</v>
      </c>
      <c r="F295" s="65">
        <v>19900</v>
      </c>
      <c r="G295" s="43">
        <v>19900</v>
      </c>
      <c r="H295" s="44"/>
      <c r="I295" s="44"/>
      <c r="J295" s="44"/>
      <c r="K295" s="44"/>
      <c r="L295" s="44"/>
      <c r="M295" s="44"/>
      <c r="N295" s="44"/>
      <c r="O295" s="44"/>
      <c r="P295" s="45">
        <f t="shared" si="139"/>
        <v>19900</v>
      </c>
      <c r="Q295" s="43">
        <v>12546.57</v>
      </c>
      <c r="R295" s="43">
        <v>6075.66</v>
      </c>
      <c r="S295" s="43">
        <v>863</v>
      </c>
      <c r="T295" s="43"/>
      <c r="U295" s="43"/>
      <c r="V295" s="43"/>
      <c r="W295" s="43"/>
      <c r="X295" s="43"/>
      <c r="Y295" s="43"/>
      <c r="Z295" s="43"/>
      <c r="AA295" s="43"/>
      <c r="AB295" s="43"/>
      <c r="AC295" s="46">
        <f t="shared" si="140"/>
        <v>19485.23</v>
      </c>
      <c r="AD295" s="43">
        <f t="shared" si="141"/>
        <v>414.77000000000044</v>
      </c>
      <c r="AE295" s="338">
        <f t="shared" si="133"/>
        <v>97.91572864321608</v>
      </c>
    </row>
    <row r="296" spans="2:31" s="28" customFormat="1" ht="12.75">
      <c r="B296" s="33"/>
      <c r="C296" s="41"/>
      <c r="D296" s="41">
        <v>4110</v>
      </c>
      <c r="E296" s="42" t="s">
        <v>632</v>
      </c>
      <c r="F296" s="65">
        <v>57200</v>
      </c>
      <c r="G296" s="43">
        <v>50900</v>
      </c>
      <c r="H296" s="44"/>
      <c r="I296" s="44"/>
      <c r="J296" s="44"/>
      <c r="K296" s="44"/>
      <c r="L296" s="44"/>
      <c r="M296" s="44"/>
      <c r="N296" s="44"/>
      <c r="O296" s="44"/>
      <c r="P296" s="45">
        <f t="shared" si="139"/>
        <v>50900</v>
      </c>
      <c r="Q296" s="43">
        <v>3537.17</v>
      </c>
      <c r="R296" s="43">
        <v>6384.9</v>
      </c>
      <c r="S296" s="43">
        <v>3152.23</v>
      </c>
      <c r="T296" s="43">
        <v>3603.51</v>
      </c>
      <c r="U296" s="43">
        <v>4189.35</v>
      </c>
      <c r="V296" s="43">
        <v>3804.72</v>
      </c>
      <c r="W296" s="43"/>
      <c r="X296" s="43"/>
      <c r="Y296" s="43"/>
      <c r="Z296" s="43"/>
      <c r="AA296" s="43"/>
      <c r="AB296" s="43"/>
      <c r="AC296" s="46">
        <f t="shared" si="140"/>
        <v>24671.879999999997</v>
      </c>
      <c r="AD296" s="43">
        <f t="shared" si="141"/>
        <v>26228.120000000003</v>
      </c>
      <c r="AE296" s="338">
        <f t="shared" si="133"/>
        <v>48.47127701375245</v>
      </c>
    </row>
    <row r="297" spans="2:31" s="28" customFormat="1" ht="12.75">
      <c r="B297" s="33"/>
      <c r="C297" s="41"/>
      <c r="D297" s="41">
        <v>4120</v>
      </c>
      <c r="E297" s="42" t="s">
        <v>749</v>
      </c>
      <c r="F297" s="65">
        <v>7700</v>
      </c>
      <c r="G297" s="43">
        <v>7700</v>
      </c>
      <c r="H297" s="44"/>
      <c r="I297" s="44"/>
      <c r="J297" s="44"/>
      <c r="K297" s="44"/>
      <c r="L297" s="44"/>
      <c r="M297" s="44"/>
      <c r="N297" s="44"/>
      <c r="O297" s="44"/>
      <c r="P297" s="45">
        <f t="shared" si="139"/>
        <v>7700</v>
      </c>
      <c r="Q297" s="43">
        <v>479.85</v>
      </c>
      <c r="R297" s="43">
        <v>974.04</v>
      </c>
      <c r="S297" s="43">
        <v>472.3</v>
      </c>
      <c r="T297" s="43">
        <v>541.15</v>
      </c>
      <c r="U297" s="43">
        <v>630.52</v>
      </c>
      <c r="V297" s="43">
        <v>571.85</v>
      </c>
      <c r="W297" s="43"/>
      <c r="X297" s="43"/>
      <c r="Y297" s="43"/>
      <c r="Z297" s="43"/>
      <c r="AA297" s="43"/>
      <c r="AB297" s="43"/>
      <c r="AC297" s="46">
        <f t="shared" si="140"/>
        <v>3669.7099999999996</v>
      </c>
      <c r="AD297" s="43">
        <f t="shared" si="141"/>
        <v>4030.2900000000004</v>
      </c>
      <c r="AE297" s="338">
        <f t="shared" si="133"/>
        <v>47.65857142857142</v>
      </c>
    </row>
    <row r="298" spans="2:31" s="28" customFormat="1" ht="12.75">
      <c r="B298" s="33"/>
      <c r="C298" s="41"/>
      <c r="D298" s="41">
        <v>4170</v>
      </c>
      <c r="E298" s="42" t="s">
        <v>640</v>
      </c>
      <c r="F298" s="65">
        <v>6000</v>
      </c>
      <c r="G298" s="43">
        <v>6000</v>
      </c>
      <c r="H298" s="44"/>
      <c r="I298" s="44"/>
      <c r="J298" s="44"/>
      <c r="K298" s="44"/>
      <c r="L298" s="44"/>
      <c r="M298" s="44"/>
      <c r="N298" s="44"/>
      <c r="O298" s="44"/>
      <c r="P298" s="45">
        <f t="shared" si="139"/>
        <v>6000</v>
      </c>
      <c r="Q298" s="43">
        <v>118.8</v>
      </c>
      <c r="R298" s="43">
        <v>274.83</v>
      </c>
      <c r="S298" s="43">
        <v>1150</v>
      </c>
      <c r="T298" s="43">
        <v>350</v>
      </c>
      <c r="U298" s="43">
        <v>350</v>
      </c>
      <c r="V298" s="43">
        <v>1150</v>
      </c>
      <c r="W298" s="43"/>
      <c r="X298" s="43"/>
      <c r="Y298" s="43"/>
      <c r="Z298" s="43"/>
      <c r="AA298" s="43"/>
      <c r="AB298" s="43"/>
      <c r="AC298" s="46">
        <f t="shared" si="140"/>
        <v>3393.63</v>
      </c>
      <c r="AD298" s="43">
        <f t="shared" si="141"/>
        <v>2606.37</v>
      </c>
      <c r="AE298" s="338">
        <f t="shared" si="133"/>
        <v>56.5605</v>
      </c>
    </row>
    <row r="299" spans="2:31" s="28" customFormat="1" ht="12.75">
      <c r="B299" s="33"/>
      <c r="C299" s="41"/>
      <c r="D299" s="41">
        <v>4210</v>
      </c>
      <c r="E299" s="42" t="s">
        <v>998</v>
      </c>
      <c r="F299" s="65">
        <v>16000</v>
      </c>
      <c r="G299" s="43">
        <v>16000</v>
      </c>
      <c r="H299" s="44"/>
      <c r="I299" s="44"/>
      <c r="J299" s="44"/>
      <c r="K299" s="44"/>
      <c r="L299" s="44"/>
      <c r="M299" s="44"/>
      <c r="N299" s="44"/>
      <c r="O299" s="44"/>
      <c r="P299" s="45">
        <f t="shared" si="139"/>
        <v>16000</v>
      </c>
      <c r="Q299" s="43">
        <v>1069.67</v>
      </c>
      <c r="R299" s="43">
        <v>812.79</v>
      </c>
      <c r="S299" s="43">
        <v>243.18</v>
      </c>
      <c r="T299" s="43">
        <v>76.13</v>
      </c>
      <c r="U299" s="43">
        <v>146.2</v>
      </c>
      <c r="V299" s="43">
        <v>513.07</v>
      </c>
      <c r="W299" s="43"/>
      <c r="X299" s="43"/>
      <c r="Y299" s="43"/>
      <c r="Z299" s="43"/>
      <c r="AA299" s="43"/>
      <c r="AB299" s="43"/>
      <c r="AC299" s="46">
        <f t="shared" si="140"/>
        <v>2861.04</v>
      </c>
      <c r="AD299" s="43">
        <f t="shared" si="141"/>
        <v>13138.96</v>
      </c>
      <c r="AE299" s="338">
        <f t="shared" si="133"/>
        <v>17.8815</v>
      </c>
    </row>
    <row r="300" spans="2:31" s="28" customFormat="1" ht="12.75">
      <c r="B300" s="33"/>
      <c r="C300" s="41"/>
      <c r="D300" s="41">
        <v>4260</v>
      </c>
      <c r="E300" s="42" t="s">
        <v>634</v>
      </c>
      <c r="F300" s="65">
        <v>9600</v>
      </c>
      <c r="G300" s="43">
        <v>9600</v>
      </c>
      <c r="H300" s="44"/>
      <c r="I300" s="44"/>
      <c r="J300" s="44"/>
      <c r="K300" s="44"/>
      <c r="L300" s="44"/>
      <c r="M300" s="44"/>
      <c r="N300" s="44"/>
      <c r="O300" s="44"/>
      <c r="P300" s="45">
        <f t="shared" si="139"/>
        <v>9600</v>
      </c>
      <c r="Q300" s="43">
        <v>995.97</v>
      </c>
      <c r="R300" s="43">
        <v>948.39</v>
      </c>
      <c r="S300" s="43">
        <v>549.7</v>
      </c>
      <c r="T300" s="43">
        <v>953.47</v>
      </c>
      <c r="U300" s="43">
        <v>556.36</v>
      </c>
      <c r="V300" s="43">
        <v>976.16</v>
      </c>
      <c r="W300" s="43"/>
      <c r="X300" s="43"/>
      <c r="Y300" s="43"/>
      <c r="Z300" s="43"/>
      <c r="AA300" s="43"/>
      <c r="AB300" s="43"/>
      <c r="AC300" s="46">
        <f t="shared" si="140"/>
        <v>4980.050000000001</v>
      </c>
      <c r="AD300" s="43">
        <f t="shared" si="141"/>
        <v>4619.949999999999</v>
      </c>
      <c r="AE300" s="338">
        <f t="shared" si="133"/>
        <v>51.87552083333335</v>
      </c>
    </row>
    <row r="301" spans="2:31" s="28" customFormat="1" ht="12.75">
      <c r="B301" s="33"/>
      <c r="C301" s="41"/>
      <c r="D301" s="41">
        <v>4270</v>
      </c>
      <c r="E301" s="42" t="s">
        <v>618</v>
      </c>
      <c r="F301" s="65">
        <v>2500</v>
      </c>
      <c r="G301" s="43">
        <v>2500</v>
      </c>
      <c r="H301" s="44"/>
      <c r="I301" s="44"/>
      <c r="J301" s="44"/>
      <c r="K301" s="44"/>
      <c r="L301" s="44"/>
      <c r="M301" s="44"/>
      <c r="N301" s="44"/>
      <c r="O301" s="44"/>
      <c r="P301" s="45">
        <f t="shared" si="139"/>
        <v>2500</v>
      </c>
      <c r="Q301" s="43">
        <v>103.7</v>
      </c>
      <c r="R301" s="43">
        <v>280.6</v>
      </c>
      <c r="S301" s="43">
        <v>25.01</v>
      </c>
      <c r="T301" s="43">
        <v>122</v>
      </c>
      <c r="U301" s="43"/>
      <c r="V301" s="43">
        <v>921.1</v>
      </c>
      <c r="W301" s="43"/>
      <c r="X301" s="43"/>
      <c r="Y301" s="43"/>
      <c r="Z301" s="43"/>
      <c r="AA301" s="43"/>
      <c r="AB301" s="43"/>
      <c r="AC301" s="46">
        <f t="shared" si="140"/>
        <v>1452.4099999999999</v>
      </c>
      <c r="AD301" s="43">
        <f t="shared" si="141"/>
        <v>1047.5900000000001</v>
      </c>
      <c r="AE301" s="338">
        <f t="shared" si="133"/>
        <v>58.0964</v>
      </c>
    </row>
    <row r="302" spans="2:31" s="28" customFormat="1" ht="12.75">
      <c r="B302" s="33"/>
      <c r="C302" s="41"/>
      <c r="D302" s="41">
        <v>4280</v>
      </c>
      <c r="E302" s="42" t="s">
        <v>641</v>
      </c>
      <c r="F302" s="65">
        <v>1000</v>
      </c>
      <c r="G302" s="43">
        <v>1000</v>
      </c>
      <c r="H302" s="44"/>
      <c r="I302" s="44"/>
      <c r="J302" s="44"/>
      <c r="K302" s="44"/>
      <c r="L302" s="44"/>
      <c r="M302" s="44"/>
      <c r="N302" s="44"/>
      <c r="O302" s="44"/>
      <c r="P302" s="45">
        <f t="shared" si="139"/>
        <v>1000</v>
      </c>
      <c r="Q302" s="43">
        <v>93</v>
      </c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6">
        <f t="shared" si="140"/>
        <v>93</v>
      </c>
      <c r="AD302" s="43">
        <f t="shared" si="141"/>
        <v>907</v>
      </c>
      <c r="AE302" s="338">
        <f t="shared" si="133"/>
        <v>9.3</v>
      </c>
    </row>
    <row r="303" spans="2:31" s="28" customFormat="1" ht="12.75">
      <c r="B303" s="33"/>
      <c r="C303" s="41"/>
      <c r="D303" s="41">
        <v>4300</v>
      </c>
      <c r="E303" s="42" t="s">
        <v>1000</v>
      </c>
      <c r="F303" s="65">
        <v>15500</v>
      </c>
      <c r="G303" s="43">
        <v>15500</v>
      </c>
      <c r="H303" s="65">
        <v>-4000</v>
      </c>
      <c r="I303" s="44"/>
      <c r="J303" s="44"/>
      <c r="K303" s="44"/>
      <c r="L303" s="44"/>
      <c r="M303" s="44"/>
      <c r="N303" s="44"/>
      <c r="O303" s="44"/>
      <c r="P303" s="45">
        <f t="shared" si="139"/>
        <v>11500</v>
      </c>
      <c r="Q303" s="43">
        <v>441.18</v>
      </c>
      <c r="R303" s="43">
        <v>1154.03</v>
      </c>
      <c r="S303" s="43">
        <v>1410.66</v>
      </c>
      <c r="T303" s="43">
        <v>834.54</v>
      </c>
      <c r="U303" s="43">
        <v>561.11</v>
      </c>
      <c r="V303" s="43">
        <v>381.68</v>
      </c>
      <c r="W303" s="43"/>
      <c r="X303" s="43"/>
      <c r="Y303" s="43"/>
      <c r="Z303" s="43"/>
      <c r="AA303" s="43"/>
      <c r="AB303" s="43"/>
      <c r="AC303" s="46">
        <f t="shared" si="140"/>
        <v>4783.2</v>
      </c>
      <c r="AD303" s="43">
        <f t="shared" si="141"/>
        <v>6716.8</v>
      </c>
      <c r="AE303" s="338">
        <f t="shared" si="133"/>
        <v>41.59304347826087</v>
      </c>
    </row>
    <row r="304" spans="2:31" s="28" customFormat="1" ht="12.75">
      <c r="B304" s="33"/>
      <c r="C304" s="41"/>
      <c r="D304" s="41">
        <v>4350</v>
      </c>
      <c r="E304" s="42" t="s">
        <v>642</v>
      </c>
      <c r="F304" s="65">
        <v>1000</v>
      </c>
      <c r="G304" s="43">
        <v>1000</v>
      </c>
      <c r="H304" s="44"/>
      <c r="I304" s="44"/>
      <c r="J304" s="44"/>
      <c r="K304" s="44"/>
      <c r="L304" s="44"/>
      <c r="M304" s="44"/>
      <c r="N304" s="44"/>
      <c r="O304" s="44"/>
      <c r="P304" s="45">
        <f t="shared" si="139"/>
        <v>1000</v>
      </c>
      <c r="Q304" s="43">
        <v>66</v>
      </c>
      <c r="R304" s="43">
        <v>66</v>
      </c>
      <c r="S304" s="43">
        <v>66</v>
      </c>
      <c r="T304" s="43">
        <v>66</v>
      </c>
      <c r="U304" s="43">
        <v>66</v>
      </c>
      <c r="V304" s="43">
        <v>66</v>
      </c>
      <c r="W304" s="43"/>
      <c r="X304" s="43"/>
      <c r="Y304" s="43"/>
      <c r="Z304" s="43"/>
      <c r="AA304" s="43"/>
      <c r="AB304" s="43"/>
      <c r="AC304" s="46">
        <f>SUM(Q304:AB304)</f>
        <v>396</v>
      </c>
      <c r="AD304" s="43">
        <f>P304-AC304</f>
        <v>604</v>
      </c>
      <c r="AE304" s="338">
        <f>AC304*100/P304</f>
        <v>39.6</v>
      </c>
    </row>
    <row r="305" spans="2:31" s="28" customFormat="1" ht="25.5">
      <c r="B305" s="33"/>
      <c r="C305" s="41"/>
      <c r="D305" s="41">
        <v>4370</v>
      </c>
      <c r="E305" s="42" t="s">
        <v>644</v>
      </c>
      <c r="F305" s="65">
        <v>7800</v>
      </c>
      <c r="G305" s="43">
        <v>7800</v>
      </c>
      <c r="H305" s="44"/>
      <c r="I305" s="44"/>
      <c r="J305" s="44"/>
      <c r="K305" s="44"/>
      <c r="L305" s="44"/>
      <c r="M305" s="44"/>
      <c r="N305" s="44"/>
      <c r="O305" s="44"/>
      <c r="P305" s="45">
        <f t="shared" si="139"/>
        <v>7800</v>
      </c>
      <c r="Q305" s="43">
        <v>516</v>
      </c>
      <c r="R305" s="43">
        <v>674.08</v>
      </c>
      <c r="S305" s="43">
        <v>625.46</v>
      </c>
      <c r="T305" s="43">
        <v>650.23</v>
      </c>
      <c r="U305" s="43">
        <v>612.3</v>
      </c>
      <c r="V305" s="43">
        <v>417.95</v>
      </c>
      <c r="W305" s="43"/>
      <c r="X305" s="43"/>
      <c r="Y305" s="43"/>
      <c r="Z305" s="43"/>
      <c r="AA305" s="43"/>
      <c r="AB305" s="43"/>
      <c r="AC305" s="46">
        <f>SUM(Q305:AB305)</f>
        <v>3496.0199999999995</v>
      </c>
      <c r="AD305" s="43">
        <f>P305-AC305</f>
        <v>4303.9800000000005</v>
      </c>
      <c r="AE305" s="338">
        <f>AC305*100/P305</f>
        <v>44.82076923076922</v>
      </c>
    </row>
    <row r="306" spans="2:31" s="28" customFormat="1" ht="25.5">
      <c r="B306" s="33"/>
      <c r="C306" s="41"/>
      <c r="D306" s="41">
        <v>4400</v>
      </c>
      <c r="E306" s="42" t="s">
        <v>1059</v>
      </c>
      <c r="F306" s="65">
        <v>9600</v>
      </c>
      <c r="G306" s="43">
        <v>9600</v>
      </c>
      <c r="H306" s="44"/>
      <c r="I306" s="44"/>
      <c r="J306" s="44"/>
      <c r="K306" s="44"/>
      <c r="L306" s="44"/>
      <c r="M306" s="44"/>
      <c r="N306" s="44"/>
      <c r="O306" s="44"/>
      <c r="P306" s="45">
        <f t="shared" si="139"/>
        <v>9600</v>
      </c>
      <c r="Q306" s="43">
        <v>733.71</v>
      </c>
      <c r="R306" s="43">
        <v>733.71</v>
      </c>
      <c r="S306" s="43">
        <v>733.71</v>
      </c>
      <c r="T306" s="43">
        <v>733.71</v>
      </c>
      <c r="U306" s="43">
        <v>733.71</v>
      </c>
      <c r="V306" s="43">
        <v>733.71</v>
      </c>
      <c r="W306" s="43"/>
      <c r="X306" s="43"/>
      <c r="Y306" s="43"/>
      <c r="Z306" s="43"/>
      <c r="AA306" s="43"/>
      <c r="AB306" s="43"/>
      <c r="AC306" s="46">
        <f>SUM(Q306:AB306)</f>
        <v>4402.26</v>
      </c>
      <c r="AD306" s="43">
        <f>P306-AC306</f>
        <v>5197.74</v>
      </c>
      <c r="AE306" s="338">
        <f>AC306*100/P306</f>
        <v>45.856875</v>
      </c>
    </row>
    <row r="307" spans="2:31" s="28" customFormat="1" ht="12.75">
      <c r="B307" s="33"/>
      <c r="C307" s="41"/>
      <c r="D307" s="41">
        <v>4410</v>
      </c>
      <c r="E307" s="42" t="s">
        <v>635</v>
      </c>
      <c r="F307" s="65">
        <v>9000</v>
      </c>
      <c r="G307" s="43">
        <v>9000</v>
      </c>
      <c r="H307" s="44"/>
      <c r="I307" s="44"/>
      <c r="J307" s="44"/>
      <c r="K307" s="44"/>
      <c r="L307" s="44"/>
      <c r="M307" s="44"/>
      <c r="N307" s="44"/>
      <c r="O307" s="44"/>
      <c r="P307" s="45">
        <f t="shared" si="139"/>
        <v>9000</v>
      </c>
      <c r="Q307" s="43">
        <v>707.62</v>
      </c>
      <c r="R307" s="43">
        <v>1051.33</v>
      </c>
      <c r="S307" s="43">
        <v>948.93</v>
      </c>
      <c r="T307" s="43">
        <v>1094</v>
      </c>
      <c r="U307" s="43">
        <v>917.86</v>
      </c>
      <c r="V307" s="43">
        <v>950.99</v>
      </c>
      <c r="W307" s="43"/>
      <c r="X307" s="43"/>
      <c r="Y307" s="43"/>
      <c r="Z307" s="43"/>
      <c r="AA307" s="43"/>
      <c r="AB307" s="43"/>
      <c r="AC307" s="46">
        <f t="shared" si="140"/>
        <v>5670.73</v>
      </c>
      <c r="AD307" s="43">
        <f t="shared" si="141"/>
        <v>3329.2700000000004</v>
      </c>
      <c r="AE307" s="338">
        <f t="shared" si="133"/>
        <v>63.00811111111111</v>
      </c>
    </row>
    <row r="308" spans="2:31" s="28" customFormat="1" ht="12.75">
      <c r="B308" s="33"/>
      <c r="C308" s="41"/>
      <c r="D308" s="41">
        <v>4430</v>
      </c>
      <c r="E308" s="42" t="s">
        <v>1007</v>
      </c>
      <c r="F308" s="65">
        <v>1000</v>
      </c>
      <c r="G308" s="43">
        <v>1000</v>
      </c>
      <c r="H308" s="44"/>
      <c r="I308" s="44"/>
      <c r="J308" s="44"/>
      <c r="K308" s="44"/>
      <c r="L308" s="44"/>
      <c r="M308" s="44"/>
      <c r="N308" s="44"/>
      <c r="O308" s="44"/>
      <c r="P308" s="45">
        <f t="shared" si="139"/>
        <v>1000</v>
      </c>
      <c r="Q308" s="43">
        <v>2.5</v>
      </c>
      <c r="R308" s="43"/>
      <c r="S308" s="43"/>
      <c r="T308" s="43">
        <v>24</v>
      </c>
      <c r="U308" s="43"/>
      <c r="V308" s="43"/>
      <c r="W308" s="43"/>
      <c r="X308" s="43"/>
      <c r="Y308" s="43"/>
      <c r="Z308" s="43"/>
      <c r="AA308" s="43"/>
      <c r="AB308" s="43"/>
      <c r="AC308" s="46">
        <f t="shared" si="140"/>
        <v>26.5</v>
      </c>
      <c r="AD308" s="43">
        <f t="shared" si="141"/>
        <v>973.5</v>
      </c>
      <c r="AE308" s="338">
        <f t="shared" si="133"/>
        <v>2.65</v>
      </c>
    </row>
    <row r="309" spans="2:31" s="28" customFormat="1" ht="25.5">
      <c r="B309" s="33"/>
      <c r="C309" s="41"/>
      <c r="D309" s="41">
        <v>4440</v>
      </c>
      <c r="E309" s="42" t="s">
        <v>645</v>
      </c>
      <c r="F309" s="65">
        <v>8000</v>
      </c>
      <c r="G309" s="43">
        <v>8000</v>
      </c>
      <c r="H309" s="44"/>
      <c r="I309" s="44"/>
      <c r="J309" s="44"/>
      <c r="K309" s="44"/>
      <c r="L309" s="44"/>
      <c r="M309" s="44"/>
      <c r="N309" s="44"/>
      <c r="O309" s="44"/>
      <c r="P309" s="45">
        <f t="shared" si="139"/>
        <v>8000</v>
      </c>
      <c r="Q309" s="43"/>
      <c r="R309" s="43"/>
      <c r="S309" s="43"/>
      <c r="T309" s="43"/>
      <c r="U309" s="43">
        <v>6000</v>
      </c>
      <c r="V309" s="43"/>
      <c r="W309" s="43"/>
      <c r="X309" s="43"/>
      <c r="Y309" s="43"/>
      <c r="Z309" s="43"/>
      <c r="AA309" s="43"/>
      <c r="AB309" s="43"/>
      <c r="AC309" s="46">
        <f t="shared" si="140"/>
        <v>6000</v>
      </c>
      <c r="AD309" s="43">
        <f t="shared" si="141"/>
        <v>2000</v>
      </c>
      <c r="AE309" s="338">
        <f t="shared" si="133"/>
        <v>75</v>
      </c>
    </row>
    <row r="310" spans="2:31" s="28" customFormat="1" ht="25.5">
      <c r="B310" s="33"/>
      <c r="C310" s="41"/>
      <c r="D310" s="41">
        <v>4700</v>
      </c>
      <c r="E310" s="42" t="s">
        <v>805</v>
      </c>
      <c r="F310" s="65"/>
      <c r="G310" s="43"/>
      <c r="H310" s="44">
        <v>4000</v>
      </c>
      <c r="I310" s="44"/>
      <c r="J310" s="44"/>
      <c r="K310" s="44"/>
      <c r="L310" s="44"/>
      <c r="M310" s="44"/>
      <c r="N310" s="44"/>
      <c r="O310" s="44"/>
      <c r="P310" s="45">
        <f t="shared" si="139"/>
        <v>4000</v>
      </c>
      <c r="Q310" s="43"/>
      <c r="R310" s="43"/>
      <c r="S310" s="43">
        <v>800</v>
      </c>
      <c r="T310" s="43"/>
      <c r="U310" s="43"/>
      <c r="V310" s="43">
        <v>195</v>
      </c>
      <c r="W310" s="43"/>
      <c r="X310" s="43"/>
      <c r="Y310" s="43"/>
      <c r="Z310" s="43"/>
      <c r="AA310" s="43"/>
      <c r="AB310" s="43"/>
      <c r="AC310" s="46">
        <f t="shared" si="140"/>
        <v>995</v>
      </c>
      <c r="AD310" s="43">
        <f t="shared" si="141"/>
        <v>3005</v>
      </c>
      <c r="AE310" s="338">
        <f t="shared" si="133"/>
        <v>24.875</v>
      </c>
    </row>
    <row r="311" spans="2:31" s="28" customFormat="1" ht="25.5">
      <c r="B311" s="33"/>
      <c r="C311" s="41"/>
      <c r="D311" s="41">
        <v>4740</v>
      </c>
      <c r="E311" s="42" t="s">
        <v>616</v>
      </c>
      <c r="F311" s="65">
        <v>3000</v>
      </c>
      <c r="G311" s="43">
        <v>3000</v>
      </c>
      <c r="H311" s="44"/>
      <c r="I311" s="44"/>
      <c r="J311" s="44"/>
      <c r="K311" s="44"/>
      <c r="L311" s="44"/>
      <c r="M311" s="44"/>
      <c r="N311" s="44"/>
      <c r="O311" s="44"/>
      <c r="P311" s="45">
        <f t="shared" si="139"/>
        <v>3000</v>
      </c>
      <c r="Q311" s="43">
        <v>311.5</v>
      </c>
      <c r="R311" s="43"/>
      <c r="S311" s="43"/>
      <c r="T311" s="43"/>
      <c r="U311" s="43"/>
      <c r="V311" s="43">
        <v>64.11</v>
      </c>
      <c r="W311" s="43"/>
      <c r="X311" s="43"/>
      <c r="Y311" s="43"/>
      <c r="Z311" s="43"/>
      <c r="AA311" s="43"/>
      <c r="AB311" s="43"/>
      <c r="AC311" s="46">
        <f t="shared" si="140"/>
        <v>375.61</v>
      </c>
      <c r="AD311" s="43">
        <f t="shared" si="141"/>
        <v>2624.39</v>
      </c>
      <c r="AE311" s="338">
        <f t="shared" si="133"/>
        <v>12.520333333333333</v>
      </c>
    </row>
    <row r="312" spans="2:31" s="28" customFormat="1" ht="25.5">
      <c r="B312" s="33"/>
      <c r="C312" s="41"/>
      <c r="D312" s="41">
        <v>4750</v>
      </c>
      <c r="E312" s="42" t="s">
        <v>617</v>
      </c>
      <c r="F312" s="65">
        <v>9000</v>
      </c>
      <c r="G312" s="43">
        <v>9000</v>
      </c>
      <c r="H312" s="44"/>
      <c r="I312" s="44"/>
      <c r="J312" s="44"/>
      <c r="K312" s="44"/>
      <c r="L312" s="44"/>
      <c r="M312" s="44"/>
      <c r="N312" s="44"/>
      <c r="O312" s="44"/>
      <c r="P312" s="45">
        <f t="shared" si="139"/>
        <v>9000</v>
      </c>
      <c r="Q312" s="43"/>
      <c r="R312" s="43">
        <v>346.48</v>
      </c>
      <c r="S312" s="43">
        <v>242.48</v>
      </c>
      <c r="T312" s="43"/>
      <c r="U312" s="43">
        <v>732</v>
      </c>
      <c r="V312" s="43">
        <v>779.28</v>
      </c>
      <c r="W312" s="43"/>
      <c r="X312" s="43"/>
      <c r="Y312" s="43"/>
      <c r="Z312" s="43"/>
      <c r="AA312" s="43"/>
      <c r="AB312" s="43"/>
      <c r="AC312" s="46">
        <f t="shared" si="140"/>
        <v>2100.24</v>
      </c>
      <c r="AD312" s="43">
        <f t="shared" si="141"/>
        <v>6899.76</v>
      </c>
      <c r="AE312" s="338">
        <f t="shared" si="133"/>
        <v>23.336</v>
      </c>
    </row>
    <row r="313" spans="2:31" s="28" customFormat="1" ht="25.5" hidden="1">
      <c r="B313" s="33"/>
      <c r="C313" s="41"/>
      <c r="D313" s="41">
        <v>6060</v>
      </c>
      <c r="E313" s="42" t="s">
        <v>573</v>
      </c>
      <c r="F313" s="65"/>
      <c r="G313" s="43"/>
      <c r="H313" s="44"/>
      <c r="I313" s="44"/>
      <c r="J313" s="44"/>
      <c r="K313" s="44"/>
      <c r="L313" s="44"/>
      <c r="M313" s="44"/>
      <c r="N313" s="44"/>
      <c r="O313" s="44"/>
      <c r="P313" s="45">
        <f t="shared" si="139"/>
        <v>0</v>
      </c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6">
        <f t="shared" si="140"/>
        <v>0</v>
      </c>
      <c r="AD313" s="43">
        <f t="shared" si="141"/>
        <v>0</v>
      </c>
      <c r="AE313" s="338" t="e">
        <f t="shared" si="133"/>
        <v>#DIV/0!</v>
      </c>
    </row>
    <row r="314" spans="2:31" s="28" customFormat="1" ht="25.5">
      <c r="B314" s="33"/>
      <c r="C314" s="35">
        <v>85228</v>
      </c>
      <c r="D314" s="35"/>
      <c r="E314" s="36" t="s">
        <v>750</v>
      </c>
      <c r="F314" s="63">
        <f>F315</f>
        <v>30000</v>
      </c>
      <c r="G314" s="37">
        <f>G315</f>
        <v>10000</v>
      </c>
      <c r="H314" s="38">
        <f>H315</f>
        <v>0</v>
      </c>
      <c r="I314" s="38">
        <f aca="true" t="shared" si="142" ref="I314:O314">I315</f>
        <v>900</v>
      </c>
      <c r="J314" s="38">
        <f t="shared" si="142"/>
        <v>0</v>
      </c>
      <c r="K314" s="38">
        <f t="shared" si="142"/>
        <v>0</v>
      </c>
      <c r="L314" s="38">
        <f t="shared" si="142"/>
        <v>0</v>
      </c>
      <c r="M314" s="38">
        <f t="shared" si="142"/>
        <v>0</v>
      </c>
      <c r="N314" s="38">
        <f t="shared" si="142"/>
        <v>0</v>
      </c>
      <c r="O314" s="38">
        <f t="shared" si="142"/>
        <v>0</v>
      </c>
      <c r="P314" s="39">
        <f>SUM(P315:P315)</f>
        <v>10900</v>
      </c>
      <c r="Q314" s="37">
        <f>Q315</f>
        <v>0</v>
      </c>
      <c r="R314" s="37">
        <f aca="true" t="shared" si="143" ref="R314:AB314">R315</f>
        <v>0</v>
      </c>
      <c r="S314" s="37">
        <f t="shared" si="143"/>
        <v>0</v>
      </c>
      <c r="T314" s="37">
        <f t="shared" si="143"/>
        <v>0</v>
      </c>
      <c r="U314" s="37">
        <f t="shared" si="143"/>
        <v>0</v>
      </c>
      <c r="V314" s="37">
        <f t="shared" si="143"/>
        <v>0</v>
      </c>
      <c r="W314" s="37">
        <f t="shared" si="143"/>
        <v>0</v>
      </c>
      <c r="X314" s="37">
        <f t="shared" si="143"/>
        <v>0</v>
      </c>
      <c r="Y314" s="37">
        <f t="shared" si="143"/>
        <v>0</v>
      </c>
      <c r="Z314" s="37">
        <f t="shared" si="143"/>
        <v>0</v>
      </c>
      <c r="AA314" s="37">
        <f t="shared" si="143"/>
        <v>0</v>
      </c>
      <c r="AB314" s="37">
        <f t="shared" si="143"/>
        <v>0</v>
      </c>
      <c r="AC314" s="37">
        <f>SUM(AC315:AC315)</f>
        <v>0</v>
      </c>
      <c r="AD314" s="37">
        <f>SUM(AD315:AD315)</f>
        <v>10900</v>
      </c>
      <c r="AE314" s="337">
        <f t="shared" si="133"/>
        <v>0</v>
      </c>
    </row>
    <row r="315" spans="2:31" s="28" customFormat="1" ht="12.75">
      <c r="B315" s="33"/>
      <c r="C315" s="41"/>
      <c r="D315" s="41">
        <v>4170</v>
      </c>
      <c r="E315" s="42" t="s">
        <v>640</v>
      </c>
      <c r="F315" s="65">
        <v>30000</v>
      </c>
      <c r="G315" s="43">
        <v>10000</v>
      </c>
      <c r="H315" s="44"/>
      <c r="I315" s="44">
        <v>900</v>
      </c>
      <c r="J315" s="44"/>
      <c r="K315" s="44"/>
      <c r="L315" s="44"/>
      <c r="M315" s="44"/>
      <c r="N315" s="44"/>
      <c r="O315" s="44"/>
      <c r="P315" s="45">
        <f>G315+H315+I315+J315+K315+L315+M315+N315+O315</f>
        <v>10900</v>
      </c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6">
        <f>SUM(Q315:AB315)</f>
        <v>0</v>
      </c>
      <c r="AD315" s="43">
        <f>P315-AC315</f>
        <v>10900</v>
      </c>
      <c r="AE315" s="338">
        <f t="shared" si="133"/>
        <v>0</v>
      </c>
    </row>
    <row r="316" spans="2:31" s="28" customFormat="1" ht="12.75">
      <c r="B316" s="33"/>
      <c r="C316" s="35">
        <v>85295</v>
      </c>
      <c r="D316" s="35"/>
      <c r="E316" s="36" t="s">
        <v>162</v>
      </c>
      <c r="F316" s="63">
        <f>SUM(F317:F319)</f>
        <v>66000</v>
      </c>
      <c r="G316" s="37">
        <f>SUM(G317:G319)</f>
        <v>66000</v>
      </c>
      <c r="H316" s="38">
        <f>SUM(H317:H319)</f>
        <v>0</v>
      </c>
      <c r="I316" s="38">
        <f aca="true" t="shared" si="144" ref="I316:O316">SUM(I317:I319)</f>
        <v>0</v>
      </c>
      <c r="J316" s="38">
        <f t="shared" si="144"/>
        <v>6160</v>
      </c>
      <c r="K316" s="38">
        <f t="shared" si="144"/>
        <v>0</v>
      </c>
      <c r="L316" s="38">
        <f t="shared" si="144"/>
        <v>0</v>
      </c>
      <c r="M316" s="38">
        <f t="shared" si="144"/>
        <v>0</v>
      </c>
      <c r="N316" s="38">
        <f t="shared" si="144"/>
        <v>0</v>
      </c>
      <c r="O316" s="38">
        <f t="shared" si="144"/>
        <v>0</v>
      </c>
      <c r="P316" s="39">
        <f>SUM(P317:P319)</f>
        <v>72160</v>
      </c>
      <c r="Q316" s="37">
        <f>SUM(Q317:Q319)</f>
        <v>4800.95</v>
      </c>
      <c r="R316" s="37">
        <f aca="true" t="shared" si="145" ref="R316:AB316">SUM(R317:R319)</f>
        <v>5384.25</v>
      </c>
      <c r="S316" s="37">
        <f t="shared" si="145"/>
        <v>5918.57</v>
      </c>
      <c r="T316" s="37">
        <f t="shared" si="145"/>
        <v>7528.67</v>
      </c>
      <c r="U316" s="37">
        <f t="shared" si="145"/>
        <v>6886.74</v>
      </c>
      <c r="V316" s="37">
        <f t="shared" si="145"/>
        <v>4757.5</v>
      </c>
      <c r="W316" s="37">
        <f t="shared" si="145"/>
        <v>0</v>
      </c>
      <c r="X316" s="37">
        <f t="shared" si="145"/>
        <v>0</v>
      </c>
      <c r="Y316" s="37">
        <f t="shared" si="145"/>
        <v>0</v>
      </c>
      <c r="Z316" s="37">
        <f t="shared" si="145"/>
        <v>0</v>
      </c>
      <c r="AA316" s="37">
        <f t="shared" si="145"/>
        <v>0</v>
      </c>
      <c r="AB316" s="37">
        <f t="shared" si="145"/>
        <v>0</v>
      </c>
      <c r="AC316" s="37">
        <f>SUM(AC317:AC319)</f>
        <v>35276.68</v>
      </c>
      <c r="AD316" s="37">
        <f>SUM(AD317:AD319)</f>
        <v>36883.32</v>
      </c>
      <c r="AE316" s="343">
        <f t="shared" si="133"/>
        <v>48.88675166297118</v>
      </c>
    </row>
    <row r="317" spans="2:31" s="28" customFormat="1" ht="12.75">
      <c r="B317" s="33"/>
      <c r="C317" s="35"/>
      <c r="D317" s="41">
        <v>3110</v>
      </c>
      <c r="E317" s="42" t="s">
        <v>672</v>
      </c>
      <c r="F317" s="271">
        <v>59000</v>
      </c>
      <c r="G317" s="46">
        <v>59000</v>
      </c>
      <c r="H317" s="48"/>
      <c r="I317" s="48"/>
      <c r="J317" s="48">
        <v>6160</v>
      </c>
      <c r="K317" s="48"/>
      <c r="L317" s="48"/>
      <c r="M317" s="48"/>
      <c r="N317" s="48"/>
      <c r="O317" s="48"/>
      <c r="P317" s="45">
        <f>G317+H317+I317+J317+K317+L317+M317+N317+O317</f>
        <v>65160</v>
      </c>
      <c r="Q317" s="46">
        <v>4800.95</v>
      </c>
      <c r="R317" s="46">
        <v>5384.25</v>
      </c>
      <c r="S317" s="46">
        <v>5918.57</v>
      </c>
      <c r="T317" s="46">
        <v>7528.67</v>
      </c>
      <c r="U317" s="46">
        <v>6886.74</v>
      </c>
      <c r="V317" s="46">
        <v>4757.5</v>
      </c>
      <c r="W317" s="46"/>
      <c r="X317" s="46"/>
      <c r="Y317" s="46"/>
      <c r="Z317" s="46"/>
      <c r="AA317" s="46"/>
      <c r="AB317" s="46"/>
      <c r="AC317" s="46">
        <f>SUM(Q317:AB317)</f>
        <v>35276.68</v>
      </c>
      <c r="AD317" s="43">
        <f>P317-AC317</f>
        <v>29883.32</v>
      </c>
      <c r="AE317" s="338">
        <f t="shared" si="133"/>
        <v>54.13855125844076</v>
      </c>
    </row>
    <row r="318" spans="2:31" s="28" customFormat="1" ht="12.75">
      <c r="B318" s="33"/>
      <c r="C318" s="35"/>
      <c r="D318" s="41">
        <v>4210</v>
      </c>
      <c r="E318" s="42" t="s">
        <v>998</v>
      </c>
      <c r="F318" s="271">
        <v>5000</v>
      </c>
      <c r="G318" s="46">
        <v>5000</v>
      </c>
      <c r="H318" s="48"/>
      <c r="I318" s="48"/>
      <c r="J318" s="48"/>
      <c r="K318" s="48"/>
      <c r="L318" s="48"/>
      <c r="M318" s="48"/>
      <c r="N318" s="48"/>
      <c r="O318" s="48"/>
      <c r="P318" s="45">
        <f>G318+H318+I318+J318+K318+L318+M318+N318+O318</f>
        <v>5000</v>
      </c>
      <c r="Q318" s="46"/>
      <c r="R318" s="46"/>
      <c r="S318" s="46"/>
      <c r="T318" s="46"/>
      <c r="U318" s="46"/>
      <c r="V318" s="46"/>
      <c r="W318" s="46"/>
      <c r="X318" s="46"/>
      <c r="Y318" s="46"/>
      <c r="Z318" s="46"/>
      <c r="AA318" s="46"/>
      <c r="AB318" s="46"/>
      <c r="AC318" s="46">
        <f>SUM(Q318:AB318)</f>
        <v>0</v>
      </c>
      <c r="AD318" s="43">
        <f>P318-AC318</f>
        <v>5000</v>
      </c>
      <c r="AE318" s="338">
        <f>AC318*100/P318</f>
        <v>0</v>
      </c>
    </row>
    <row r="319" spans="2:31" s="28" customFormat="1" ht="12.75">
      <c r="B319" s="33"/>
      <c r="C319" s="35"/>
      <c r="D319" s="41">
        <v>4300</v>
      </c>
      <c r="E319" s="42" t="s">
        <v>1000</v>
      </c>
      <c r="F319" s="271">
        <v>2000</v>
      </c>
      <c r="G319" s="46">
        <v>2000</v>
      </c>
      <c r="H319" s="48"/>
      <c r="I319" s="48"/>
      <c r="J319" s="48"/>
      <c r="K319" s="48"/>
      <c r="L319" s="48"/>
      <c r="M319" s="48"/>
      <c r="N319" s="48"/>
      <c r="O319" s="48"/>
      <c r="P319" s="45">
        <f>G319+H319+I319+J319+K319+L319+M319+N319+O319</f>
        <v>2000</v>
      </c>
      <c r="Q319" s="46"/>
      <c r="R319" s="46"/>
      <c r="S319" s="46"/>
      <c r="T319" s="46"/>
      <c r="U319" s="46"/>
      <c r="V319" s="46"/>
      <c r="W319" s="46"/>
      <c r="X319" s="46"/>
      <c r="Y319" s="46"/>
      <c r="Z319" s="46"/>
      <c r="AA319" s="46"/>
      <c r="AB319" s="46"/>
      <c r="AC319" s="46">
        <f>SUM(Q319:AB319)</f>
        <v>0</v>
      </c>
      <c r="AD319" s="43">
        <f>P319-AC319</f>
        <v>2000</v>
      </c>
      <c r="AE319" s="338">
        <f t="shared" si="133"/>
        <v>0</v>
      </c>
    </row>
    <row r="320" spans="2:31" s="28" customFormat="1" ht="12.75">
      <c r="B320" s="53">
        <v>854</v>
      </c>
      <c r="C320" s="54"/>
      <c r="D320" s="54"/>
      <c r="E320" s="55" t="s">
        <v>566</v>
      </c>
      <c r="F320" s="62">
        <f aca="true" t="shared" si="146" ref="F320:H321">F321</f>
        <v>20000</v>
      </c>
      <c r="G320" s="51">
        <f t="shared" si="146"/>
        <v>20000</v>
      </c>
      <c r="H320" s="52">
        <f t="shared" si="146"/>
        <v>0</v>
      </c>
      <c r="I320" s="52">
        <f aca="true" t="shared" si="147" ref="I320:O321">I321</f>
        <v>0</v>
      </c>
      <c r="J320" s="52">
        <f t="shared" si="147"/>
        <v>21913</v>
      </c>
      <c r="K320" s="52">
        <f t="shared" si="147"/>
        <v>0</v>
      </c>
      <c r="L320" s="52">
        <f t="shared" si="147"/>
        <v>0</v>
      </c>
      <c r="M320" s="52">
        <f t="shared" si="147"/>
        <v>0</v>
      </c>
      <c r="N320" s="52">
        <f t="shared" si="147"/>
        <v>0</v>
      </c>
      <c r="O320" s="52">
        <f t="shared" si="147"/>
        <v>0</v>
      </c>
      <c r="P320" s="51">
        <f>P321</f>
        <v>41913</v>
      </c>
      <c r="Q320" s="51">
        <f>Q321</f>
        <v>0</v>
      </c>
      <c r="R320" s="51">
        <f aca="true" t="shared" si="148" ref="R320:AB321">R321</f>
        <v>0</v>
      </c>
      <c r="S320" s="51">
        <f t="shared" si="148"/>
        <v>0</v>
      </c>
      <c r="T320" s="51">
        <f t="shared" si="148"/>
        <v>0</v>
      </c>
      <c r="U320" s="51">
        <f t="shared" si="148"/>
        <v>0</v>
      </c>
      <c r="V320" s="51">
        <f t="shared" si="148"/>
        <v>15781.83</v>
      </c>
      <c r="W320" s="51">
        <f t="shared" si="148"/>
        <v>0</v>
      </c>
      <c r="X320" s="51">
        <f t="shared" si="148"/>
        <v>0</v>
      </c>
      <c r="Y320" s="51">
        <f t="shared" si="148"/>
        <v>0</v>
      </c>
      <c r="Z320" s="51">
        <f t="shared" si="148"/>
        <v>0</v>
      </c>
      <c r="AA320" s="51">
        <f t="shared" si="148"/>
        <v>0</v>
      </c>
      <c r="AB320" s="51">
        <f t="shared" si="148"/>
        <v>0</v>
      </c>
      <c r="AC320" s="51">
        <f>AC321</f>
        <v>15781.83</v>
      </c>
      <c r="AD320" s="51">
        <f>AD321</f>
        <v>26131.17</v>
      </c>
      <c r="AE320" s="344">
        <f t="shared" si="133"/>
        <v>37.65378283587431</v>
      </c>
    </row>
    <row r="321" spans="2:31" s="28" customFormat="1" ht="12.75">
      <c r="B321" s="33"/>
      <c r="C321" s="35">
        <v>85415</v>
      </c>
      <c r="D321" s="74"/>
      <c r="E321" s="75" t="s">
        <v>978</v>
      </c>
      <c r="F321" s="63">
        <f t="shared" si="146"/>
        <v>20000</v>
      </c>
      <c r="G321" s="37">
        <f t="shared" si="146"/>
        <v>20000</v>
      </c>
      <c r="H321" s="38">
        <f t="shared" si="146"/>
        <v>0</v>
      </c>
      <c r="I321" s="38">
        <f t="shared" si="147"/>
        <v>0</v>
      </c>
      <c r="J321" s="38">
        <f t="shared" si="147"/>
        <v>21913</v>
      </c>
      <c r="K321" s="38">
        <f t="shared" si="147"/>
        <v>0</v>
      </c>
      <c r="L321" s="38">
        <f t="shared" si="147"/>
        <v>0</v>
      </c>
      <c r="M321" s="38">
        <f t="shared" si="147"/>
        <v>0</v>
      </c>
      <c r="N321" s="38">
        <f t="shared" si="147"/>
        <v>0</v>
      </c>
      <c r="O321" s="38">
        <f t="shared" si="147"/>
        <v>0</v>
      </c>
      <c r="P321" s="39">
        <f>P322</f>
        <v>41913</v>
      </c>
      <c r="Q321" s="37">
        <f>Q322</f>
        <v>0</v>
      </c>
      <c r="R321" s="37">
        <f t="shared" si="148"/>
        <v>0</v>
      </c>
      <c r="S321" s="37">
        <f t="shared" si="148"/>
        <v>0</v>
      </c>
      <c r="T321" s="37">
        <f t="shared" si="148"/>
        <v>0</v>
      </c>
      <c r="U321" s="37">
        <f t="shared" si="148"/>
        <v>0</v>
      </c>
      <c r="V321" s="37">
        <f t="shared" si="148"/>
        <v>15781.83</v>
      </c>
      <c r="W321" s="37">
        <f t="shared" si="148"/>
        <v>0</v>
      </c>
      <c r="X321" s="37">
        <f t="shared" si="148"/>
        <v>0</v>
      </c>
      <c r="Y321" s="37">
        <f t="shared" si="148"/>
        <v>0</v>
      </c>
      <c r="Z321" s="37">
        <f t="shared" si="148"/>
        <v>0</v>
      </c>
      <c r="AA321" s="37">
        <f t="shared" si="148"/>
        <v>0</v>
      </c>
      <c r="AB321" s="37">
        <f t="shared" si="148"/>
        <v>0</v>
      </c>
      <c r="AC321" s="37">
        <f>AC322</f>
        <v>15781.83</v>
      </c>
      <c r="AD321" s="37">
        <f>AD322</f>
        <v>26131.17</v>
      </c>
      <c r="AE321" s="338">
        <f t="shared" si="133"/>
        <v>37.65378283587431</v>
      </c>
    </row>
    <row r="322" spans="2:31" s="28" customFormat="1" ht="12.75">
      <c r="B322" s="33"/>
      <c r="C322" s="35"/>
      <c r="D322" s="41">
        <v>3260</v>
      </c>
      <c r="E322" s="42" t="s">
        <v>677</v>
      </c>
      <c r="F322" s="271">
        <v>20000</v>
      </c>
      <c r="G322" s="46">
        <v>20000</v>
      </c>
      <c r="H322" s="48"/>
      <c r="I322" s="48"/>
      <c r="J322" s="48">
        <v>21913</v>
      </c>
      <c r="K322" s="48"/>
      <c r="L322" s="48"/>
      <c r="M322" s="48"/>
      <c r="N322" s="48"/>
      <c r="O322" s="48"/>
      <c r="P322" s="45">
        <f>G322+H322+I322+J322+K322+L322+M322+N322+O322</f>
        <v>41913</v>
      </c>
      <c r="Q322" s="46"/>
      <c r="R322" s="46"/>
      <c r="S322" s="46"/>
      <c r="T322" s="46"/>
      <c r="U322" s="46"/>
      <c r="V322" s="46">
        <v>15781.83</v>
      </c>
      <c r="W322" s="46"/>
      <c r="X322" s="46"/>
      <c r="Y322" s="46"/>
      <c r="Z322" s="46"/>
      <c r="AA322" s="46"/>
      <c r="AB322" s="46"/>
      <c r="AC322" s="46">
        <f>SUM(Q322:AB322)</f>
        <v>15781.83</v>
      </c>
      <c r="AD322" s="43">
        <f>P322-AC322</f>
        <v>26131.17</v>
      </c>
      <c r="AE322" s="338">
        <f t="shared" si="133"/>
        <v>37.65378283587431</v>
      </c>
    </row>
    <row r="323" spans="2:31" s="28" customFormat="1" ht="25.5">
      <c r="B323" s="53">
        <v>900</v>
      </c>
      <c r="C323" s="54"/>
      <c r="D323" s="54"/>
      <c r="E323" s="55" t="s">
        <v>979</v>
      </c>
      <c r="F323" s="62">
        <f>F324+F330</f>
        <v>494100</v>
      </c>
      <c r="G323" s="51">
        <f>G324+G330</f>
        <v>494100</v>
      </c>
      <c r="H323" s="52">
        <f>H324+H330</f>
        <v>15000</v>
      </c>
      <c r="I323" s="52">
        <f aca="true" t="shared" si="149" ref="I323:O323">I324+I330</f>
        <v>0</v>
      </c>
      <c r="J323" s="62">
        <f t="shared" si="149"/>
        <v>170000</v>
      </c>
      <c r="K323" s="52">
        <f t="shared" si="149"/>
        <v>0</v>
      </c>
      <c r="L323" s="52">
        <f t="shared" si="149"/>
        <v>0</v>
      </c>
      <c r="M323" s="52">
        <f t="shared" si="149"/>
        <v>0</v>
      </c>
      <c r="N323" s="52">
        <f t="shared" si="149"/>
        <v>0</v>
      </c>
      <c r="O323" s="52">
        <f t="shared" si="149"/>
        <v>0</v>
      </c>
      <c r="P323" s="51">
        <f>P324+P330</f>
        <v>679100</v>
      </c>
      <c r="Q323" s="51">
        <f aca="true" t="shared" si="150" ref="Q323:AD323">Q324+Q330</f>
        <v>20821.29</v>
      </c>
      <c r="R323" s="51">
        <f t="shared" si="150"/>
        <v>38003.32</v>
      </c>
      <c r="S323" s="51">
        <f t="shared" si="150"/>
        <v>41221.09</v>
      </c>
      <c r="T323" s="51">
        <f t="shared" si="150"/>
        <v>38142.82</v>
      </c>
      <c r="U323" s="51">
        <f t="shared" si="150"/>
        <v>30976.59</v>
      </c>
      <c r="V323" s="51">
        <f t="shared" si="150"/>
        <v>30355.84</v>
      </c>
      <c r="W323" s="51">
        <f t="shared" si="150"/>
        <v>0</v>
      </c>
      <c r="X323" s="51">
        <f t="shared" si="150"/>
        <v>0</v>
      </c>
      <c r="Y323" s="51">
        <f t="shared" si="150"/>
        <v>0</v>
      </c>
      <c r="Z323" s="51">
        <f t="shared" si="150"/>
        <v>0</v>
      </c>
      <c r="AA323" s="51">
        <f t="shared" si="150"/>
        <v>0</v>
      </c>
      <c r="AB323" s="51">
        <f t="shared" si="150"/>
        <v>0</v>
      </c>
      <c r="AC323" s="51">
        <f t="shared" si="150"/>
        <v>199520.95</v>
      </c>
      <c r="AD323" s="51">
        <f t="shared" si="150"/>
        <v>479579.05000000005</v>
      </c>
      <c r="AE323" s="336">
        <f t="shared" si="133"/>
        <v>29.380201737593875</v>
      </c>
    </row>
    <row r="324" spans="2:31" s="28" customFormat="1" ht="12.75">
      <c r="B324" s="33"/>
      <c r="C324" s="35">
        <v>90015</v>
      </c>
      <c r="D324" s="35"/>
      <c r="E324" s="36" t="s">
        <v>752</v>
      </c>
      <c r="F324" s="63">
        <f>SUM(F325:F329)</f>
        <v>396000</v>
      </c>
      <c r="G324" s="37">
        <f>SUM(G325:G329)</f>
        <v>396000</v>
      </c>
      <c r="H324" s="38">
        <f>SUM(H325:H329)</f>
        <v>15000</v>
      </c>
      <c r="I324" s="38">
        <f aca="true" t="shared" si="151" ref="I324:O324">SUM(I325:I329)</f>
        <v>0</v>
      </c>
      <c r="J324" s="63">
        <f t="shared" si="151"/>
        <v>-30000</v>
      </c>
      <c r="K324" s="38">
        <f t="shared" si="151"/>
        <v>0</v>
      </c>
      <c r="L324" s="38">
        <f t="shared" si="151"/>
        <v>0</v>
      </c>
      <c r="M324" s="38">
        <f t="shared" si="151"/>
        <v>0</v>
      </c>
      <c r="N324" s="38">
        <f t="shared" si="151"/>
        <v>0</v>
      </c>
      <c r="O324" s="38">
        <f t="shared" si="151"/>
        <v>0</v>
      </c>
      <c r="P324" s="39">
        <f>SUM(P325:P329)</f>
        <v>381000</v>
      </c>
      <c r="Q324" s="37">
        <f>SUM(Q325:Q329)</f>
        <v>18911.940000000002</v>
      </c>
      <c r="R324" s="37">
        <f aca="true" t="shared" si="152" ref="R324:AB324">SUM(R325:R329)</f>
        <v>30339.55</v>
      </c>
      <c r="S324" s="37">
        <f t="shared" si="152"/>
        <v>31461.23</v>
      </c>
      <c r="T324" s="37">
        <f t="shared" si="152"/>
        <v>30786.309999999998</v>
      </c>
      <c r="U324" s="37">
        <f t="shared" si="152"/>
        <v>29267.11</v>
      </c>
      <c r="V324" s="37">
        <f t="shared" si="152"/>
        <v>24946.14</v>
      </c>
      <c r="W324" s="37">
        <f t="shared" si="152"/>
        <v>0</v>
      </c>
      <c r="X324" s="37">
        <f t="shared" si="152"/>
        <v>0</v>
      </c>
      <c r="Y324" s="37">
        <f t="shared" si="152"/>
        <v>0</v>
      </c>
      <c r="Z324" s="37">
        <f t="shared" si="152"/>
        <v>0</v>
      </c>
      <c r="AA324" s="37">
        <f t="shared" si="152"/>
        <v>0</v>
      </c>
      <c r="AB324" s="37">
        <f t="shared" si="152"/>
        <v>0</v>
      </c>
      <c r="AC324" s="37">
        <f>SUM(AC325:AC329)</f>
        <v>165712.28</v>
      </c>
      <c r="AD324" s="37">
        <f>SUM(AD325:AD329)</f>
        <v>215287.72</v>
      </c>
      <c r="AE324" s="337">
        <f t="shared" si="133"/>
        <v>43.494036745406824</v>
      </c>
    </row>
    <row r="325" spans="2:31" s="28" customFormat="1" ht="12.75">
      <c r="B325" s="33"/>
      <c r="C325" s="41"/>
      <c r="D325" s="41">
        <v>4210</v>
      </c>
      <c r="E325" s="42" t="s">
        <v>998</v>
      </c>
      <c r="F325" s="65">
        <v>1000</v>
      </c>
      <c r="G325" s="43">
        <v>1000</v>
      </c>
      <c r="H325" s="44">
        <v>5000</v>
      </c>
      <c r="I325" s="44"/>
      <c r="J325" s="44"/>
      <c r="K325" s="44"/>
      <c r="L325" s="44"/>
      <c r="M325" s="44"/>
      <c r="N325" s="44"/>
      <c r="O325" s="44"/>
      <c r="P325" s="45">
        <f>G325+H325+I325+J325+K325+L325+M325+N325+O325</f>
        <v>6000</v>
      </c>
      <c r="Q325" s="43">
        <v>5087.4</v>
      </c>
      <c r="R325" s="43"/>
      <c r="S325" s="43"/>
      <c r="T325" s="43"/>
      <c r="U325" s="43">
        <v>635.76</v>
      </c>
      <c r="V325" s="43"/>
      <c r="W325" s="43"/>
      <c r="X325" s="43"/>
      <c r="Y325" s="43"/>
      <c r="Z325" s="43"/>
      <c r="AA325" s="43"/>
      <c r="AB325" s="43"/>
      <c r="AC325" s="46">
        <f>SUM(Q325:AB325)</f>
        <v>5723.16</v>
      </c>
      <c r="AD325" s="43">
        <f>P325-AC325</f>
        <v>276.84000000000015</v>
      </c>
      <c r="AE325" s="338">
        <f t="shared" si="133"/>
        <v>95.386</v>
      </c>
    </row>
    <row r="326" spans="2:31" s="28" customFormat="1" ht="12.75">
      <c r="B326" s="33"/>
      <c r="C326" s="41"/>
      <c r="D326" s="41">
        <v>4260</v>
      </c>
      <c r="E326" s="42" t="s">
        <v>634</v>
      </c>
      <c r="F326" s="65">
        <v>120000</v>
      </c>
      <c r="G326" s="43">
        <v>120000</v>
      </c>
      <c r="H326" s="44"/>
      <c r="I326" s="44"/>
      <c r="J326" s="44"/>
      <c r="K326" s="44"/>
      <c r="L326" s="44"/>
      <c r="M326" s="44"/>
      <c r="N326" s="44"/>
      <c r="O326" s="44"/>
      <c r="P326" s="45">
        <f>G326+H326+I326+J326+K326+L326+M326+N326+O326</f>
        <v>120000</v>
      </c>
      <c r="Q326" s="43"/>
      <c r="R326" s="43">
        <v>14270.5</v>
      </c>
      <c r="S326" s="43">
        <v>15241.05</v>
      </c>
      <c r="T326" s="43">
        <v>11209.94</v>
      </c>
      <c r="U326" s="43">
        <v>12187.12</v>
      </c>
      <c r="V326" s="43">
        <v>8492.84</v>
      </c>
      <c r="W326" s="43"/>
      <c r="X326" s="43"/>
      <c r="Y326" s="43"/>
      <c r="Z326" s="43"/>
      <c r="AA326" s="43"/>
      <c r="AB326" s="43"/>
      <c r="AC326" s="46">
        <f>SUM(Q326:AB326)</f>
        <v>61401.45</v>
      </c>
      <c r="AD326" s="43">
        <f>P326-AC326</f>
        <v>58598.55</v>
      </c>
      <c r="AE326" s="338">
        <f t="shared" si="133"/>
        <v>51.167875</v>
      </c>
    </row>
    <row r="327" spans="2:31" s="28" customFormat="1" ht="12.75">
      <c r="B327" s="33"/>
      <c r="C327" s="41"/>
      <c r="D327" s="41">
        <v>4270</v>
      </c>
      <c r="E327" s="42" t="s">
        <v>618</v>
      </c>
      <c r="F327" s="65">
        <v>150000</v>
      </c>
      <c r="G327" s="43">
        <v>150000</v>
      </c>
      <c r="H327" s="44"/>
      <c r="I327" s="44"/>
      <c r="J327" s="44"/>
      <c r="K327" s="44"/>
      <c r="L327" s="44"/>
      <c r="M327" s="44"/>
      <c r="N327" s="44"/>
      <c r="O327" s="44"/>
      <c r="P327" s="45">
        <f>G327+H327+I327+J327+K327+L327+M327+N327+O327</f>
        <v>150000</v>
      </c>
      <c r="Q327" s="43">
        <v>13824.54</v>
      </c>
      <c r="R327" s="43">
        <v>16069.05</v>
      </c>
      <c r="S327" s="43">
        <v>16220.18</v>
      </c>
      <c r="T327" s="43">
        <v>19566.37</v>
      </c>
      <c r="U327" s="43">
        <v>16444.23</v>
      </c>
      <c r="V327" s="43">
        <v>16445.3</v>
      </c>
      <c r="W327" s="43"/>
      <c r="X327" s="43"/>
      <c r="Y327" s="43"/>
      <c r="Z327" s="43"/>
      <c r="AA327" s="43"/>
      <c r="AB327" s="43"/>
      <c r="AC327" s="46">
        <f>SUM(Q327:AB327)</f>
        <v>98569.67</v>
      </c>
      <c r="AD327" s="43">
        <f>P327-AC327</f>
        <v>51430.33</v>
      </c>
      <c r="AE327" s="338">
        <f t="shared" si="133"/>
        <v>65.71311333333334</v>
      </c>
    </row>
    <row r="328" spans="2:31" s="28" customFormat="1" ht="12.75" hidden="1">
      <c r="B328" s="33"/>
      <c r="C328" s="41"/>
      <c r="D328" s="41">
        <v>4300</v>
      </c>
      <c r="E328" s="42" t="s">
        <v>1000</v>
      </c>
      <c r="F328" s="65"/>
      <c r="G328" s="43"/>
      <c r="H328" s="44"/>
      <c r="I328" s="44"/>
      <c r="J328" s="44"/>
      <c r="K328" s="44"/>
      <c r="L328" s="44"/>
      <c r="M328" s="44"/>
      <c r="N328" s="44"/>
      <c r="O328" s="44"/>
      <c r="P328" s="45">
        <f>G328+H328+I328+J328+K328+L328+M328+N328+O328</f>
        <v>0</v>
      </c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6">
        <f>SUM(Q328:AB328)</f>
        <v>0</v>
      </c>
      <c r="AD328" s="43">
        <f>P328-AC328</f>
        <v>0</v>
      </c>
      <c r="AE328" s="338" t="e">
        <f t="shared" si="133"/>
        <v>#DIV/0!</v>
      </c>
    </row>
    <row r="329" spans="2:31" s="28" customFormat="1" ht="25.5">
      <c r="B329" s="33"/>
      <c r="C329" s="41"/>
      <c r="D329" s="41">
        <v>6050</v>
      </c>
      <c r="E329" s="42" t="s">
        <v>1001</v>
      </c>
      <c r="F329" s="65">
        <v>125000</v>
      </c>
      <c r="G329" s="43">
        <v>125000</v>
      </c>
      <c r="H329" s="44">
        <v>10000</v>
      </c>
      <c r="I329" s="44"/>
      <c r="J329" s="65">
        <v>-30000</v>
      </c>
      <c r="K329" s="44"/>
      <c r="L329" s="44"/>
      <c r="M329" s="44"/>
      <c r="N329" s="44"/>
      <c r="O329" s="44"/>
      <c r="P329" s="45">
        <f>G329+H329+I329+J329+K329+L329+M329+N329+O329</f>
        <v>105000</v>
      </c>
      <c r="Q329" s="43"/>
      <c r="R329" s="43"/>
      <c r="S329" s="43"/>
      <c r="T329" s="43">
        <v>10</v>
      </c>
      <c r="U329" s="43"/>
      <c r="V329" s="43">
        <v>8</v>
      </c>
      <c r="W329" s="43"/>
      <c r="X329" s="43"/>
      <c r="Y329" s="43"/>
      <c r="Z329" s="43"/>
      <c r="AA329" s="43"/>
      <c r="AB329" s="43"/>
      <c r="AC329" s="46">
        <f>SUM(Q329:AB329)</f>
        <v>18</v>
      </c>
      <c r="AD329" s="43">
        <f>P329-AC329</f>
        <v>104982</v>
      </c>
      <c r="AE329" s="338">
        <f t="shared" si="133"/>
        <v>0.017142857142857144</v>
      </c>
    </row>
    <row r="330" spans="2:31" s="28" customFormat="1" ht="12.75">
      <c r="B330" s="33"/>
      <c r="C330" s="35">
        <v>90095</v>
      </c>
      <c r="D330" s="35"/>
      <c r="E330" s="36" t="s">
        <v>162</v>
      </c>
      <c r="F330" s="63">
        <f>SUM(F331:F335)</f>
        <v>98100</v>
      </c>
      <c r="G330" s="37">
        <f>SUM(G331:G335)</f>
        <v>98100</v>
      </c>
      <c r="H330" s="38">
        <f>SUM(H331:H335)</f>
        <v>0</v>
      </c>
      <c r="I330" s="38">
        <f aca="true" t="shared" si="153" ref="I330:O330">SUM(I331:I335)</f>
        <v>0</v>
      </c>
      <c r="J330" s="38">
        <f t="shared" si="153"/>
        <v>200000</v>
      </c>
      <c r="K330" s="38">
        <f t="shared" si="153"/>
        <v>0</v>
      </c>
      <c r="L330" s="38">
        <f t="shared" si="153"/>
        <v>0</v>
      </c>
      <c r="M330" s="38">
        <f t="shared" si="153"/>
        <v>0</v>
      </c>
      <c r="N330" s="38">
        <f t="shared" si="153"/>
        <v>0</v>
      </c>
      <c r="O330" s="38">
        <f t="shared" si="153"/>
        <v>0</v>
      </c>
      <c r="P330" s="39">
        <f>SUM(P331:P335)</f>
        <v>298100</v>
      </c>
      <c r="Q330" s="37">
        <f>SUM(Q331:Q335)</f>
        <v>1909.35</v>
      </c>
      <c r="R330" s="37">
        <f aca="true" t="shared" si="154" ref="R330:AB330">SUM(R331:R335)</f>
        <v>7663.7699999999995</v>
      </c>
      <c r="S330" s="37">
        <f t="shared" si="154"/>
        <v>9759.86</v>
      </c>
      <c r="T330" s="37">
        <f t="shared" si="154"/>
        <v>7356.51</v>
      </c>
      <c r="U330" s="37">
        <f t="shared" si="154"/>
        <v>1709.48</v>
      </c>
      <c r="V330" s="37">
        <f t="shared" si="154"/>
        <v>5409.7</v>
      </c>
      <c r="W330" s="37">
        <f t="shared" si="154"/>
        <v>0</v>
      </c>
      <c r="X330" s="37">
        <f t="shared" si="154"/>
        <v>0</v>
      </c>
      <c r="Y330" s="37">
        <f t="shared" si="154"/>
        <v>0</v>
      </c>
      <c r="Z330" s="37">
        <f t="shared" si="154"/>
        <v>0</v>
      </c>
      <c r="AA330" s="37">
        <f t="shared" si="154"/>
        <v>0</v>
      </c>
      <c r="AB330" s="37">
        <f t="shared" si="154"/>
        <v>0</v>
      </c>
      <c r="AC330" s="37">
        <f>SUM(AC331:AC335)</f>
        <v>33808.67</v>
      </c>
      <c r="AD330" s="37">
        <f>SUM(AD331:AD335)</f>
        <v>264291.33</v>
      </c>
      <c r="AE330" s="337">
        <f t="shared" si="133"/>
        <v>11.341385441127139</v>
      </c>
    </row>
    <row r="331" spans="2:31" s="28" customFormat="1" ht="12.75">
      <c r="B331" s="33"/>
      <c r="C331" s="35"/>
      <c r="D331" s="41">
        <v>4170</v>
      </c>
      <c r="E331" s="42" t="s">
        <v>753</v>
      </c>
      <c r="F331" s="65">
        <v>15000</v>
      </c>
      <c r="G331" s="43">
        <v>15000</v>
      </c>
      <c r="H331" s="44"/>
      <c r="I331" s="44"/>
      <c r="J331" s="44"/>
      <c r="K331" s="44"/>
      <c r="L331" s="44"/>
      <c r="M331" s="44"/>
      <c r="N331" s="44"/>
      <c r="O331" s="44"/>
      <c r="P331" s="45">
        <f>G331+H331+I331+J331+K331+L331+M331+N331+O331</f>
        <v>15000</v>
      </c>
      <c r="Q331" s="43">
        <v>1356.75</v>
      </c>
      <c r="R331" s="43">
        <v>1410.6</v>
      </c>
      <c r="S331" s="43">
        <v>1410.6</v>
      </c>
      <c r="T331" s="43">
        <v>1410.6</v>
      </c>
      <c r="U331" s="43">
        <v>1410.6</v>
      </c>
      <c r="V331" s="43">
        <v>1410.6</v>
      </c>
      <c r="W331" s="43"/>
      <c r="X331" s="43"/>
      <c r="Y331" s="43"/>
      <c r="Z331" s="43"/>
      <c r="AA331" s="43"/>
      <c r="AB331" s="43"/>
      <c r="AC331" s="46">
        <f>SUM(Q331:AB331)</f>
        <v>8409.75</v>
      </c>
      <c r="AD331" s="43">
        <f>P331-AC331</f>
        <v>6590.25</v>
      </c>
      <c r="AE331" s="338">
        <f t="shared" si="133"/>
        <v>56.065</v>
      </c>
    </row>
    <row r="332" spans="2:33" s="28" customFormat="1" ht="12.75">
      <c r="B332" s="33"/>
      <c r="C332" s="35"/>
      <c r="D332" s="41">
        <v>4210</v>
      </c>
      <c r="E332" s="42" t="s">
        <v>998</v>
      </c>
      <c r="F332" s="65">
        <f>5000+1500</f>
        <v>6500</v>
      </c>
      <c r="G332" s="43">
        <f>5000+1500</f>
        <v>6500</v>
      </c>
      <c r="H332" s="44"/>
      <c r="I332" s="44"/>
      <c r="J332" s="44"/>
      <c r="K332" s="44"/>
      <c r="L332" s="44"/>
      <c r="M332" s="44"/>
      <c r="N332" s="44"/>
      <c r="O332" s="44"/>
      <c r="P332" s="45">
        <f>G332+H332+I332+J332+K332+L332+M332+N332+O332</f>
        <v>6500</v>
      </c>
      <c r="Q332" s="43"/>
      <c r="R332" s="43"/>
      <c r="S332" s="43">
        <v>117.1</v>
      </c>
      <c r="T332" s="43">
        <v>20.98</v>
      </c>
      <c r="U332" s="43"/>
      <c r="V332" s="43"/>
      <c r="W332" s="43"/>
      <c r="X332" s="43"/>
      <c r="Y332" s="43"/>
      <c r="Z332" s="43"/>
      <c r="AA332" s="43"/>
      <c r="AB332" s="43"/>
      <c r="AC332" s="46">
        <f>SUM(Q332:AB332)</f>
        <v>138.07999999999998</v>
      </c>
      <c r="AD332" s="43">
        <f>P332-AC332</f>
        <v>6361.92</v>
      </c>
      <c r="AE332" s="338">
        <f t="shared" si="133"/>
        <v>2.124307692307692</v>
      </c>
      <c r="AG332" s="28">
        <f>24000*7%</f>
        <v>1680.0000000000002</v>
      </c>
    </row>
    <row r="333" spans="2:31" s="28" customFormat="1" ht="12.75">
      <c r="B333" s="33"/>
      <c r="C333" s="41"/>
      <c r="D333" s="41">
        <v>4260</v>
      </c>
      <c r="E333" s="42" t="s">
        <v>634</v>
      </c>
      <c r="F333" s="65">
        <v>2600</v>
      </c>
      <c r="G333" s="43">
        <v>2600</v>
      </c>
      <c r="H333" s="44"/>
      <c r="I333" s="44"/>
      <c r="J333" s="44"/>
      <c r="K333" s="44"/>
      <c r="L333" s="44"/>
      <c r="M333" s="44"/>
      <c r="N333" s="44"/>
      <c r="O333" s="44"/>
      <c r="P333" s="45">
        <f>G333+H333+I333+J333+K333+L333+M333+N333+O333</f>
        <v>2600</v>
      </c>
      <c r="Q333" s="43"/>
      <c r="R333" s="43">
        <v>835.3</v>
      </c>
      <c r="S333" s="43">
        <v>276.23</v>
      </c>
      <c r="T333" s="43">
        <v>548.41</v>
      </c>
      <c r="U333" s="43"/>
      <c r="V333" s="43">
        <v>194.98</v>
      </c>
      <c r="W333" s="43"/>
      <c r="X333" s="43"/>
      <c r="Y333" s="43"/>
      <c r="Z333" s="43"/>
      <c r="AA333" s="43"/>
      <c r="AB333" s="43"/>
      <c r="AC333" s="46">
        <f>SUM(Q333:AB333)</f>
        <v>1854.92</v>
      </c>
      <c r="AD333" s="43">
        <f>P333-AC333</f>
        <v>745.0799999999999</v>
      </c>
      <c r="AE333" s="338">
        <f t="shared" si="133"/>
        <v>71.34307692307692</v>
      </c>
    </row>
    <row r="334" spans="2:31" s="28" customFormat="1" ht="12.75">
      <c r="B334" s="33"/>
      <c r="C334" s="41"/>
      <c r="D334" s="41">
        <v>4300</v>
      </c>
      <c r="E334" s="42" t="s">
        <v>1000</v>
      </c>
      <c r="F334" s="65">
        <f>2000+60000</f>
        <v>62000</v>
      </c>
      <c r="G334" s="43">
        <f>2000+60000</f>
        <v>62000</v>
      </c>
      <c r="H334" s="44"/>
      <c r="I334" s="44">
        <v>12000</v>
      </c>
      <c r="J334" s="44"/>
      <c r="K334" s="44"/>
      <c r="L334" s="44"/>
      <c r="M334" s="44"/>
      <c r="N334" s="44"/>
      <c r="O334" s="44"/>
      <c r="P334" s="45">
        <f>G334+H334+I334+J334+K334+L334+M334+N334+O334</f>
        <v>74000</v>
      </c>
      <c r="Q334" s="43">
        <v>552.6</v>
      </c>
      <c r="R334" s="43">
        <v>5417.87</v>
      </c>
      <c r="S334" s="43">
        <v>7955.93</v>
      </c>
      <c r="T334" s="43">
        <v>5376.52</v>
      </c>
      <c r="U334" s="43">
        <v>298.88</v>
      </c>
      <c r="V334" s="43">
        <v>3804.12</v>
      </c>
      <c r="W334" s="43"/>
      <c r="X334" s="43"/>
      <c r="Y334" s="43"/>
      <c r="Z334" s="43"/>
      <c r="AA334" s="43"/>
      <c r="AB334" s="43"/>
      <c r="AC334" s="46">
        <f>SUM(Q334:AB334)</f>
        <v>23405.920000000002</v>
      </c>
      <c r="AD334" s="43">
        <f>P334-AC334</f>
        <v>50594.08</v>
      </c>
      <c r="AE334" s="338">
        <f t="shared" si="133"/>
        <v>31.62962162162162</v>
      </c>
    </row>
    <row r="335" spans="2:31" s="28" customFormat="1" ht="25.5">
      <c r="B335" s="33"/>
      <c r="C335" s="41"/>
      <c r="D335" s="41">
        <v>6050</v>
      </c>
      <c r="E335" s="42" t="s">
        <v>1001</v>
      </c>
      <c r="F335" s="65">
        <v>12000</v>
      </c>
      <c r="G335" s="43">
        <v>12000</v>
      </c>
      <c r="H335" s="44"/>
      <c r="I335" s="65">
        <v>-12000</v>
      </c>
      <c r="J335" s="44">
        <v>200000</v>
      </c>
      <c r="K335" s="44"/>
      <c r="L335" s="44"/>
      <c r="M335" s="44"/>
      <c r="N335" s="44"/>
      <c r="O335" s="44"/>
      <c r="P335" s="45">
        <f>G335+H335+I335+J335+K335+L335+M335+N335+O335</f>
        <v>200000</v>
      </c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6">
        <f>SUM(Q335:AB335)</f>
        <v>0</v>
      </c>
      <c r="AD335" s="43">
        <f>P335-AC335</f>
        <v>200000</v>
      </c>
      <c r="AE335" s="338">
        <f t="shared" si="133"/>
        <v>0</v>
      </c>
    </row>
    <row r="336" spans="2:31" s="28" customFormat="1" ht="12.75">
      <c r="B336" s="53">
        <v>921</v>
      </c>
      <c r="C336" s="54"/>
      <c r="D336" s="54"/>
      <c r="E336" s="55" t="s">
        <v>983</v>
      </c>
      <c r="F336" s="62">
        <f>F337+F339</f>
        <v>628200</v>
      </c>
      <c r="G336" s="51">
        <f>G337+G339</f>
        <v>483200</v>
      </c>
      <c r="H336" s="52">
        <f>H337+H339</f>
        <v>0</v>
      </c>
      <c r="I336" s="52">
        <f aca="true" t="shared" si="155" ref="I336:O336">I337+I339</f>
        <v>0</v>
      </c>
      <c r="J336" s="52">
        <f t="shared" si="155"/>
        <v>35000</v>
      </c>
      <c r="K336" s="52">
        <f t="shared" si="155"/>
        <v>0</v>
      </c>
      <c r="L336" s="52">
        <f t="shared" si="155"/>
        <v>0</v>
      </c>
      <c r="M336" s="52">
        <f t="shared" si="155"/>
        <v>0</v>
      </c>
      <c r="N336" s="52">
        <f t="shared" si="155"/>
        <v>0</v>
      </c>
      <c r="O336" s="52">
        <f t="shared" si="155"/>
        <v>0</v>
      </c>
      <c r="P336" s="51">
        <f>P337+P339</f>
        <v>518200</v>
      </c>
      <c r="Q336" s="51">
        <f>Q337+Q339</f>
        <v>49500</v>
      </c>
      <c r="R336" s="51">
        <f aca="true" t="shared" si="156" ref="R336:AB336">R337+R339</f>
        <v>62000</v>
      </c>
      <c r="S336" s="51">
        <f t="shared" si="156"/>
        <v>42000</v>
      </c>
      <c r="T336" s="51">
        <f t="shared" si="156"/>
        <v>45700</v>
      </c>
      <c r="U336" s="51">
        <f t="shared" si="156"/>
        <v>46000</v>
      </c>
      <c r="V336" s="51">
        <f t="shared" si="156"/>
        <v>31000</v>
      </c>
      <c r="W336" s="51">
        <f t="shared" si="156"/>
        <v>0</v>
      </c>
      <c r="X336" s="51">
        <f t="shared" si="156"/>
        <v>0</v>
      </c>
      <c r="Y336" s="51">
        <f t="shared" si="156"/>
        <v>0</v>
      </c>
      <c r="Z336" s="51">
        <f t="shared" si="156"/>
        <v>0</v>
      </c>
      <c r="AA336" s="51">
        <f t="shared" si="156"/>
        <v>0</v>
      </c>
      <c r="AB336" s="51">
        <f t="shared" si="156"/>
        <v>0</v>
      </c>
      <c r="AC336" s="51">
        <f>AC337+AC339</f>
        <v>276200</v>
      </c>
      <c r="AD336" s="51">
        <f>AD337+AD339</f>
        <v>242000</v>
      </c>
      <c r="AE336" s="336">
        <f t="shared" si="133"/>
        <v>53.299884214588964</v>
      </c>
    </row>
    <row r="337" spans="2:31" s="28" customFormat="1" ht="12.75">
      <c r="B337" s="33"/>
      <c r="C337" s="35">
        <v>92109</v>
      </c>
      <c r="D337" s="35"/>
      <c r="E337" s="36" t="s">
        <v>754</v>
      </c>
      <c r="F337" s="63">
        <f aca="true" t="shared" si="157" ref="F337:AD337">SUM(F338:F338)</f>
        <v>253200</v>
      </c>
      <c r="G337" s="37">
        <f t="shared" si="157"/>
        <v>193200</v>
      </c>
      <c r="H337" s="38">
        <f t="shared" si="157"/>
        <v>0</v>
      </c>
      <c r="I337" s="38">
        <f t="shared" si="157"/>
        <v>0</v>
      </c>
      <c r="J337" s="38">
        <f t="shared" si="157"/>
        <v>35000</v>
      </c>
      <c r="K337" s="38">
        <f t="shared" si="157"/>
        <v>0</v>
      </c>
      <c r="L337" s="38">
        <f t="shared" si="157"/>
        <v>0</v>
      </c>
      <c r="M337" s="38">
        <f t="shared" si="157"/>
        <v>0</v>
      </c>
      <c r="N337" s="38">
        <f t="shared" si="157"/>
        <v>0</v>
      </c>
      <c r="O337" s="38">
        <f t="shared" si="157"/>
        <v>0</v>
      </c>
      <c r="P337" s="39">
        <f>SUM(P338:P338)</f>
        <v>228200</v>
      </c>
      <c r="Q337" s="37">
        <f t="shared" si="157"/>
        <v>25500</v>
      </c>
      <c r="R337" s="37">
        <f t="shared" si="157"/>
        <v>29000</v>
      </c>
      <c r="S337" s="37">
        <f t="shared" si="157"/>
        <v>19000</v>
      </c>
      <c r="T337" s="37">
        <f t="shared" si="157"/>
        <v>22700</v>
      </c>
      <c r="U337" s="37">
        <f t="shared" si="157"/>
        <v>17000</v>
      </c>
      <c r="V337" s="37">
        <f t="shared" si="157"/>
        <v>15000</v>
      </c>
      <c r="W337" s="37">
        <f t="shared" si="157"/>
        <v>0</v>
      </c>
      <c r="X337" s="37">
        <f t="shared" si="157"/>
        <v>0</v>
      </c>
      <c r="Y337" s="37">
        <f t="shared" si="157"/>
        <v>0</v>
      </c>
      <c r="Z337" s="37">
        <f t="shared" si="157"/>
        <v>0</v>
      </c>
      <c r="AA337" s="37">
        <f t="shared" si="157"/>
        <v>0</v>
      </c>
      <c r="AB337" s="37">
        <f t="shared" si="157"/>
        <v>0</v>
      </c>
      <c r="AC337" s="37">
        <f t="shared" si="157"/>
        <v>128200</v>
      </c>
      <c r="AD337" s="37">
        <f t="shared" si="157"/>
        <v>100000</v>
      </c>
      <c r="AE337" s="337">
        <f t="shared" si="133"/>
        <v>56.178790534618756</v>
      </c>
    </row>
    <row r="338" spans="2:31" s="28" customFormat="1" ht="25.5">
      <c r="B338" s="33"/>
      <c r="C338" s="41"/>
      <c r="D338" s="41">
        <v>2480</v>
      </c>
      <c r="E338" s="42" t="s">
        <v>755</v>
      </c>
      <c r="F338" s="65">
        <v>253200</v>
      </c>
      <c r="G338" s="43">
        <f>253200-60000</f>
        <v>193200</v>
      </c>
      <c r="H338" s="44"/>
      <c r="I338" s="44"/>
      <c r="J338" s="44">
        <v>35000</v>
      </c>
      <c r="K338" s="44"/>
      <c r="L338" s="44"/>
      <c r="M338" s="44"/>
      <c r="N338" s="44"/>
      <c r="O338" s="44"/>
      <c r="P338" s="45">
        <f>G338+H338+I338+J338+K338+L338+M338+N338+O338</f>
        <v>228200</v>
      </c>
      <c r="Q338" s="43">
        <v>25500</v>
      </c>
      <c r="R338" s="43">
        <v>29000</v>
      </c>
      <c r="S338" s="43">
        <v>19000</v>
      </c>
      <c r="T338" s="43">
        <v>22700</v>
      </c>
      <c r="U338" s="43">
        <v>17000</v>
      </c>
      <c r="V338" s="43">
        <v>15000</v>
      </c>
      <c r="W338" s="43"/>
      <c r="X338" s="43"/>
      <c r="Y338" s="43"/>
      <c r="Z338" s="43"/>
      <c r="AA338" s="43"/>
      <c r="AB338" s="43"/>
      <c r="AC338" s="46">
        <f>SUM(Q338:AB338)</f>
        <v>128200</v>
      </c>
      <c r="AD338" s="43">
        <f>P338-AC338</f>
        <v>100000</v>
      </c>
      <c r="AE338" s="338">
        <f t="shared" si="133"/>
        <v>56.178790534618756</v>
      </c>
    </row>
    <row r="339" spans="2:31" s="28" customFormat="1" ht="12.75">
      <c r="B339" s="33"/>
      <c r="C339" s="35">
        <v>92116</v>
      </c>
      <c r="D339" s="35"/>
      <c r="E339" s="36" t="s">
        <v>984</v>
      </c>
      <c r="F339" s="63">
        <f aca="true" t="shared" si="158" ref="F339:AD339">SUM(F340:F340)</f>
        <v>375000</v>
      </c>
      <c r="G339" s="37">
        <f t="shared" si="158"/>
        <v>290000</v>
      </c>
      <c r="H339" s="38">
        <f t="shared" si="158"/>
        <v>0</v>
      </c>
      <c r="I339" s="38">
        <f t="shared" si="158"/>
        <v>0</v>
      </c>
      <c r="J339" s="38">
        <f t="shared" si="158"/>
        <v>0</v>
      </c>
      <c r="K339" s="38">
        <f t="shared" si="158"/>
        <v>0</v>
      </c>
      <c r="L339" s="38">
        <f t="shared" si="158"/>
        <v>0</v>
      </c>
      <c r="M339" s="38">
        <f t="shared" si="158"/>
        <v>0</v>
      </c>
      <c r="N339" s="38">
        <f t="shared" si="158"/>
        <v>0</v>
      </c>
      <c r="O339" s="38">
        <f t="shared" si="158"/>
        <v>0</v>
      </c>
      <c r="P339" s="39">
        <f>SUM(P340:P340)</f>
        <v>290000</v>
      </c>
      <c r="Q339" s="37">
        <f t="shared" si="158"/>
        <v>24000</v>
      </c>
      <c r="R339" s="37">
        <f t="shared" si="158"/>
        <v>33000</v>
      </c>
      <c r="S339" s="37">
        <f t="shared" si="158"/>
        <v>23000</v>
      </c>
      <c r="T339" s="37">
        <f t="shared" si="158"/>
        <v>23000</v>
      </c>
      <c r="U339" s="37">
        <f t="shared" si="158"/>
        <v>29000</v>
      </c>
      <c r="V339" s="37">
        <f t="shared" si="158"/>
        <v>16000</v>
      </c>
      <c r="W339" s="37">
        <f t="shared" si="158"/>
        <v>0</v>
      </c>
      <c r="X339" s="37">
        <f t="shared" si="158"/>
        <v>0</v>
      </c>
      <c r="Y339" s="37">
        <f t="shared" si="158"/>
        <v>0</v>
      </c>
      <c r="Z339" s="37">
        <f t="shared" si="158"/>
        <v>0</v>
      </c>
      <c r="AA339" s="37">
        <f t="shared" si="158"/>
        <v>0</v>
      </c>
      <c r="AB339" s="37">
        <f t="shared" si="158"/>
        <v>0</v>
      </c>
      <c r="AC339" s="37">
        <f t="shared" si="158"/>
        <v>148000</v>
      </c>
      <c r="AD339" s="37">
        <f t="shared" si="158"/>
        <v>142000</v>
      </c>
      <c r="AE339" s="337">
        <f t="shared" si="133"/>
        <v>51.03448275862069</v>
      </c>
    </row>
    <row r="340" spans="2:31" s="28" customFormat="1" ht="25.5">
      <c r="B340" s="33"/>
      <c r="C340" s="41"/>
      <c r="D340" s="41">
        <v>2480</v>
      </c>
      <c r="E340" s="42" t="s">
        <v>755</v>
      </c>
      <c r="F340" s="65">
        <v>375000</v>
      </c>
      <c r="G340" s="43">
        <f>375000-85000</f>
        <v>290000</v>
      </c>
      <c r="H340" s="44"/>
      <c r="I340" s="44"/>
      <c r="J340" s="44"/>
      <c r="K340" s="44"/>
      <c r="L340" s="44"/>
      <c r="M340" s="44"/>
      <c r="N340" s="44"/>
      <c r="O340" s="44"/>
      <c r="P340" s="45">
        <f>G340+H340+I340+J340+K340+L340+M340+N340+O340</f>
        <v>290000</v>
      </c>
      <c r="Q340" s="43">
        <v>24000</v>
      </c>
      <c r="R340" s="43">
        <v>33000</v>
      </c>
      <c r="S340" s="43">
        <v>23000</v>
      </c>
      <c r="T340" s="43">
        <v>23000</v>
      </c>
      <c r="U340" s="43">
        <v>29000</v>
      </c>
      <c r="V340" s="43">
        <v>16000</v>
      </c>
      <c r="W340" s="43"/>
      <c r="X340" s="43"/>
      <c r="Y340" s="43"/>
      <c r="Z340" s="43"/>
      <c r="AA340" s="43"/>
      <c r="AB340" s="43"/>
      <c r="AC340" s="46">
        <f>SUM(Q340:AB340)</f>
        <v>148000</v>
      </c>
      <c r="AD340" s="43">
        <f>P340-AC340</f>
        <v>142000</v>
      </c>
      <c r="AE340" s="338">
        <f t="shared" si="133"/>
        <v>51.03448275862069</v>
      </c>
    </row>
    <row r="341" spans="2:31" s="28" customFormat="1" ht="12.75">
      <c r="B341" s="53">
        <v>926</v>
      </c>
      <c r="C341" s="54"/>
      <c r="D341" s="54"/>
      <c r="E341" s="55" t="s">
        <v>756</v>
      </c>
      <c r="F341" s="62">
        <f>F342+F345</f>
        <v>215932</v>
      </c>
      <c r="G341" s="51">
        <f>G342+G345</f>
        <v>135932</v>
      </c>
      <c r="H341" s="52">
        <f>H342+H345</f>
        <v>40000</v>
      </c>
      <c r="I341" s="52">
        <f aca="true" t="shared" si="159" ref="I341:O341">I342+I345</f>
        <v>0</v>
      </c>
      <c r="J341" s="52">
        <f t="shared" si="159"/>
        <v>92450</v>
      </c>
      <c r="K341" s="52">
        <f t="shared" si="159"/>
        <v>0</v>
      </c>
      <c r="L341" s="52">
        <f t="shared" si="159"/>
        <v>0</v>
      </c>
      <c r="M341" s="52">
        <f t="shared" si="159"/>
        <v>0</v>
      </c>
      <c r="N341" s="52">
        <f t="shared" si="159"/>
        <v>0</v>
      </c>
      <c r="O341" s="52">
        <f t="shared" si="159"/>
        <v>0</v>
      </c>
      <c r="P341" s="51">
        <f>P342+P345</f>
        <v>268382</v>
      </c>
      <c r="Q341" s="51">
        <f aca="true" t="shared" si="160" ref="Q341:AD341">Q342+Q345</f>
        <v>2839.08</v>
      </c>
      <c r="R341" s="51">
        <f t="shared" si="160"/>
        <v>2529.2000000000003</v>
      </c>
      <c r="S341" s="51">
        <f t="shared" si="160"/>
        <v>19522.38</v>
      </c>
      <c r="T341" s="51">
        <f t="shared" si="160"/>
        <v>11887.26</v>
      </c>
      <c r="U341" s="51">
        <f t="shared" si="160"/>
        <v>26267.53</v>
      </c>
      <c r="V341" s="51">
        <f t="shared" si="160"/>
        <v>9829.189999999999</v>
      </c>
      <c r="W341" s="51">
        <f t="shared" si="160"/>
        <v>0</v>
      </c>
      <c r="X341" s="51">
        <f t="shared" si="160"/>
        <v>0</v>
      </c>
      <c r="Y341" s="51">
        <f t="shared" si="160"/>
        <v>0</v>
      </c>
      <c r="Z341" s="51">
        <f t="shared" si="160"/>
        <v>0</v>
      </c>
      <c r="AA341" s="51">
        <f t="shared" si="160"/>
        <v>0</v>
      </c>
      <c r="AB341" s="51">
        <f t="shared" si="160"/>
        <v>0</v>
      </c>
      <c r="AC341" s="51">
        <f t="shared" si="160"/>
        <v>72874.64</v>
      </c>
      <c r="AD341" s="51">
        <f t="shared" si="160"/>
        <v>195507.36</v>
      </c>
      <c r="AE341" s="336">
        <f t="shared" si="133"/>
        <v>27.15332622903175</v>
      </c>
    </row>
    <row r="342" spans="2:31" s="28" customFormat="1" ht="25.5">
      <c r="B342" s="33"/>
      <c r="C342" s="35">
        <v>92605</v>
      </c>
      <c r="D342" s="35"/>
      <c r="E342" s="36" t="s">
        <v>757</v>
      </c>
      <c r="F342" s="63">
        <f>SUM(F343:F343)</f>
        <v>35700</v>
      </c>
      <c r="G342" s="37">
        <f>SUM(G343:G343)</f>
        <v>35700</v>
      </c>
      <c r="H342" s="63">
        <f>SUM(H343:H343)</f>
        <v>-2700</v>
      </c>
      <c r="I342" s="38">
        <f aca="true" t="shared" si="161" ref="I342:O342">SUM(I343:I343)</f>
        <v>0</v>
      </c>
      <c r="J342" s="38">
        <f>SUM(J343:J344)</f>
        <v>80000</v>
      </c>
      <c r="K342" s="38">
        <f t="shared" si="161"/>
        <v>0</v>
      </c>
      <c r="L342" s="38">
        <f t="shared" si="161"/>
        <v>0</v>
      </c>
      <c r="M342" s="38">
        <f t="shared" si="161"/>
        <v>0</v>
      </c>
      <c r="N342" s="38">
        <f t="shared" si="161"/>
        <v>0</v>
      </c>
      <c r="O342" s="38">
        <f t="shared" si="161"/>
        <v>0</v>
      </c>
      <c r="P342" s="39">
        <f>SUM(P343:P344)</f>
        <v>113000</v>
      </c>
      <c r="Q342" s="37">
        <f>SUM(Q343:Q343)</f>
        <v>0</v>
      </c>
      <c r="R342" s="37">
        <f aca="true" t="shared" si="162" ref="R342:AB342">SUM(R343:R343)</f>
        <v>0</v>
      </c>
      <c r="S342" s="37">
        <f t="shared" si="162"/>
        <v>16500</v>
      </c>
      <c r="T342" s="37">
        <f t="shared" si="162"/>
        <v>0</v>
      </c>
      <c r="U342" s="37">
        <f t="shared" si="162"/>
        <v>0</v>
      </c>
      <c r="V342" s="37">
        <f t="shared" si="162"/>
        <v>0</v>
      </c>
      <c r="W342" s="37">
        <f t="shared" si="162"/>
        <v>0</v>
      </c>
      <c r="X342" s="37">
        <f t="shared" si="162"/>
        <v>0</v>
      </c>
      <c r="Y342" s="37">
        <f t="shared" si="162"/>
        <v>0</v>
      </c>
      <c r="Z342" s="37">
        <f t="shared" si="162"/>
        <v>0</v>
      </c>
      <c r="AA342" s="37">
        <f t="shared" si="162"/>
        <v>0</v>
      </c>
      <c r="AB342" s="37">
        <f t="shared" si="162"/>
        <v>0</v>
      </c>
      <c r="AC342" s="37">
        <f>SUM(AC343:AC344)</f>
        <v>16500</v>
      </c>
      <c r="AD342" s="37">
        <f>SUM(AD343:AD344)</f>
        <v>96500</v>
      </c>
      <c r="AE342" s="337">
        <f t="shared" si="133"/>
        <v>14.601769911504425</v>
      </c>
    </row>
    <row r="343" spans="2:31" s="28" customFormat="1" ht="38.25">
      <c r="B343" s="33"/>
      <c r="C343" s="35"/>
      <c r="D343" s="41">
        <v>2820</v>
      </c>
      <c r="E343" s="42" t="s">
        <v>671</v>
      </c>
      <c r="F343" s="271">
        <v>35700</v>
      </c>
      <c r="G343" s="46">
        <v>35700</v>
      </c>
      <c r="H343" s="271">
        <v>-2700</v>
      </c>
      <c r="I343" s="48"/>
      <c r="J343" s="48"/>
      <c r="K343" s="48"/>
      <c r="L343" s="48"/>
      <c r="M343" s="48"/>
      <c r="N343" s="48"/>
      <c r="O343" s="48"/>
      <c r="P343" s="45">
        <f>G343+H343+I343+J343+K343+L343+M343+N343+O343</f>
        <v>33000</v>
      </c>
      <c r="Q343" s="46"/>
      <c r="R343" s="46"/>
      <c r="S343" s="46">
        <v>16500</v>
      </c>
      <c r="T343" s="46"/>
      <c r="U343" s="46"/>
      <c r="V343" s="46"/>
      <c r="W343" s="46"/>
      <c r="X343" s="46"/>
      <c r="Y343" s="46"/>
      <c r="Z343" s="46"/>
      <c r="AA343" s="46"/>
      <c r="AB343" s="46"/>
      <c r="AC343" s="46">
        <f>SUM(Q343:AB343)</f>
        <v>16500</v>
      </c>
      <c r="AD343" s="43">
        <f>P343-AC343</f>
        <v>16500</v>
      </c>
      <c r="AE343" s="338">
        <f t="shared" si="133"/>
        <v>50</v>
      </c>
    </row>
    <row r="344" spans="2:31" s="28" customFormat="1" ht="12.75">
      <c r="B344" s="33"/>
      <c r="C344" s="35"/>
      <c r="D344" s="41">
        <v>4270</v>
      </c>
      <c r="E344" s="42" t="s">
        <v>618</v>
      </c>
      <c r="F344" s="271"/>
      <c r="G344" s="46"/>
      <c r="H344" s="271"/>
      <c r="I344" s="48"/>
      <c r="J344" s="48">
        <v>80000</v>
      </c>
      <c r="K344" s="48"/>
      <c r="L344" s="48"/>
      <c r="M344" s="48"/>
      <c r="N344" s="48"/>
      <c r="O344" s="48"/>
      <c r="P344" s="45">
        <f>G344+H344+I344+J344+K344+L344+M344+N344+O344</f>
        <v>80000</v>
      </c>
      <c r="Q344" s="46"/>
      <c r="R344" s="46"/>
      <c r="S344" s="46"/>
      <c r="T344" s="46"/>
      <c r="U344" s="46"/>
      <c r="V344" s="46"/>
      <c r="W344" s="46"/>
      <c r="X344" s="46"/>
      <c r="Y344" s="46"/>
      <c r="Z344" s="46"/>
      <c r="AA344" s="46"/>
      <c r="AB344" s="46"/>
      <c r="AC344" s="46">
        <f>SUM(Q344:AB344)</f>
        <v>0</v>
      </c>
      <c r="AD344" s="43">
        <f>P344-AC344</f>
        <v>80000</v>
      </c>
      <c r="AE344" s="338">
        <f t="shared" si="133"/>
        <v>0</v>
      </c>
    </row>
    <row r="345" spans="2:31" s="28" customFormat="1" ht="12.75">
      <c r="B345" s="33"/>
      <c r="C345" s="35">
        <v>92695</v>
      </c>
      <c r="D345" s="35"/>
      <c r="E345" s="36" t="s">
        <v>162</v>
      </c>
      <c r="F345" s="63">
        <f>SUM(F346:F352)</f>
        <v>180232</v>
      </c>
      <c r="G345" s="37">
        <f>SUM(G346:G353)</f>
        <v>100232</v>
      </c>
      <c r="H345" s="38">
        <f>SUM(H346:H352)</f>
        <v>42700</v>
      </c>
      <c r="I345" s="38">
        <f aca="true" t="shared" si="163" ref="I345:O345">SUM(I346:I352)</f>
        <v>0</v>
      </c>
      <c r="J345" s="38">
        <f>SUM(J346:J353)</f>
        <v>12450</v>
      </c>
      <c r="K345" s="38">
        <f t="shared" si="163"/>
        <v>0</v>
      </c>
      <c r="L345" s="38">
        <f t="shared" si="163"/>
        <v>0</v>
      </c>
      <c r="M345" s="38">
        <f t="shared" si="163"/>
        <v>0</v>
      </c>
      <c r="N345" s="38">
        <f t="shared" si="163"/>
        <v>0</v>
      </c>
      <c r="O345" s="38">
        <f t="shared" si="163"/>
        <v>0</v>
      </c>
      <c r="P345" s="39">
        <f>SUM(P346:P353)</f>
        <v>155382</v>
      </c>
      <c r="Q345" s="37">
        <f aca="true" t="shared" si="164" ref="Q345:AB345">SUM(Q346:Q352)</f>
        <v>2839.08</v>
      </c>
      <c r="R345" s="37">
        <f t="shared" si="164"/>
        <v>2529.2000000000003</v>
      </c>
      <c r="S345" s="37">
        <f t="shared" si="164"/>
        <v>3022.38</v>
      </c>
      <c r="T345" s="37">
        <f t="shared" si="164"/>
        <v>11887.26</v>
      </c>
      <c r="U345" s="37">
        <f>SUM(U346:U353)</f>
        <v>26267.53</v>
      </c>
      <c r="V345" s="37">
        <f t="shared" si="164"/>
        <v>9829.189999999999</v>
      </c>
      <c r="W345" s="37">
        <f t="shared" si="164"/>
        <v>0</v>
      </c>
      <c r="X345" s="37">
        <f t="shared" si="164"/>
        <v>0</v>
      </c>
      <c r="Y345" s="37">
        <f t="shared" si="164"/>
        <v>0</v>
      </c>
      <c r="Z345" s="37">
        <f t="shared" si="164"/>
        <v>0</v>
      </c>
      <c r="AA345" s="37">
        <f t="shared" si="164"/>
        <v>0</v>
      </c>
      <c r="AB345" s="37">
        <f t="shared" si="164"/>
        <v>0</v>
      </c>
      <c r="AC345" s="37">
        <f>SUM(AC346:AC353)</f>
        <v>56374.64</v>
      </c>
      <c r="AD345" s="37">
        <f>SUM(AD346:AD353)</f>
        <v>99007.36</v>
      </c>
      <c r="AE345" s="337">
        <f t="shared" si="133"/>
        <v>36.2813195865673</v>
      </c>
    </row>
    <row r="346" spans="2:31" s="28" customFormat="1" ht="12.75">
      <c r="B346" s="33"/>
      <c r="C346" s="41"/>
      <c r="D346" s="41">
        <v>4170</v>
      </c>
      <c r="E346" s="42" t="s">
        <v>640</v>
      </c>
      <c r="F346" s="65">
        <v>9632</v>
      </c>
      <c r="G346" s="43">
        <v>9632</v>
      </c>
      <c r="H346" s="44"/>
      <c r="I346" s="44"/>
      <c r="J346" s="44"/>
      <c r="K346" s="44"/>
      <c r="L346" s="44"/>
      <c r="M346" s="44"/>
      <c r="N346" s="44"/>
      <c r="O346" s="44"/>
      <c r="P346" s="45">
        <f aca="true" t="shared" si="165" ref="P346:P353">G346+H346+I346+J346+K346+L346+M346+N346+O346</f>
        <v>9632</v>
      </c>
      <c r="Q346" s="43">
        <v>593.6</v>
      </c>
      <c r="R346" s="43">
        <v>575.5</v>
      </c>
      <c r="S346" s="43">
        <v>675.5</v>
      </c>
      <c r="T346" s="43">
        <v>662.87</v>
      </c>
      <c r="U346" s="43">
        <v>774.72</v>
      </c>
      <c r="V346" s="43">
        <v>852.3</v>
      </c>
      <c r="W346" s="43"/>
      <c r="X346" s="43"/>
      <c r="Y346" s="43"/>
      <c r="Z346" s="43"/>
      <c r="AA346" s="43"/>
      <c r="AB346" s="43"/>
      <c r="AC346" s="46">
        <f aca="true" t="shared" si="166" ref="AC346:AC351">SUM(Q346:AB346)</f>
        <v>4134.49</v>
      </c>
      <c r="AD346" s="43">
        <f aca="true" t="shared" si="167" ref="AD346:AD351">P346-AC346</f>
        <v>5497.51</v>
      </c>
      <c r="AE346" s="338">
        <f t="shared" si="133"/>
        <v>42.92452242524917</v>
      </c>
    </row>
    <row r="347" spans="2:31" s="28" customFormat="1" ht="12.75">
      <c r="B347" s="33"/>
      <c r="C347" s="41"/>
      <c r="D347" s="41">
        <v>4210</v>
      </c>
      <c r="E347" s="42" t="s">
        <v>998</v>
      </c>
      <c r="F347" s="65">
        <v>12900</v>
      </c>
      <c r="G347" s="43">
        <v>12900</v>
      </c>
      <c r="H347" s="44">
        <v>2700</v>
      </c>
      <c r="I347" s="44"/>
      <c r="J347" s="44"/>
      <c r="K347" s="44"/>
      <c r="L347" s="44"/>
      <c r="M347" s="44"/>
      <c r="N347" s="44"/>
      <c r="O347" s="44"/>
      <c r="P347" s="45">
        <f t="shared" si="165"/>
        <v>15600</v>
      </c>
      <c r="Q347" s="43">
        <v>369.93</v>
      </c>
      <c r="R347" s="43">
        <v>1167.41</v>
      </c>
      <c r="S347" s="43">
        <v>521.83</v>
      </c>
      <c r="T347" s="43">
        <v>7039.72</v>
      </c>
      <c r="U347" s="43">
        <v>4038.19</v>
      </c>
      <c r="V347" s="43">
        <v>447.36</v>
      </c>
      <c r="W347" s="43"/>
      <c r="X347" s="43"/>
      <c r="Y347" s="43"/>
      <c r="Z347" s="43"/>
      <c r="AA347" s="43"/>
      <c r="AB347" s="43"/>
      <c r="AC347" s="46">
        <f t="shared" si="166"/>
        <v>13584.44</v>
      </c>
      <c r="AD347" s="43">
        <f t="shared" si="167"/>
        <v>2015.5599999999995</v>
      </c>
      <c r="AE347" s="338">
        <f t="shared" si="133"/>
        <v>87.07974358974359</v>
      </c>
    </row>
    <row r="348" spans="2:31" s="28" customFormat="1" ht="12.75">
      <c r="B348" s="33"/>
      <c r="C348" s="41"/>
      <c r="D348" s="41">
        <v>4260</v>
      </c>
      <c r="E348" s="42" t="s">
        <v>634</v>
      </c>
      <c r="F348" s="65">
        <v>7000</v>
      </c>
      <c r="G348" s="43">
        <v>7000</v>
      </c>
      <c r="H348" s="44"/>
      <c r="I348" s="44"/>
      <c r="J348" s="44"/>
      <c r="K348" s="44"/>
      <c r="L348" s="44"/>
      <c r="M348" s="44"/>
      <c r="N348" s="44"/>
      <c r="O348" s="44"/>
      <c r="P348" s="45">
        <f t="shared" si="165"/>
        <v>7000</v>
      </c>
      <c r="Q348" s="43">
        <v>1440.24</v>
      </c>
      <c r="R348" s="43">
        <v>750.98</v>
      </c>
      <c r="S348" s="43"/>
      <c r="T348" s="43">
        <v>874.67</v>
      </c>
      <c r="U348" s="43">
        <v>79.92</v>
      </c>
      <c r="V348" s="43">
        <v>1524.74</v>
      </c>
      <c r="W348" s="43"/>
      <c r="X348" s="43"/>
      <c r="Y348" s="43"/>
      <c r="Z348" s="43"/>
      <c r="AA348" s="43"/>
      <c r="AB348" s="43"/>
      <c r="AC348" s="46">
        <f t="shared" si="166"/>
        <v>4670.55</v>
      </c>
      <c r="AD348" s="43">
        <f t="shared" si="167"/>
        <v>2329.45</v>
      </c>
      <c r="AE348" s="338">
        <f t="shared" si="133"/>
        <v>66.72214285714286</v>
      </c>
    </row>
    <row r="349" spans="2:31" s="28" customFormat="1" ht="12.75">
      <c r="B349" s="33"/>
      <c r="C349" s="41"/>
      <c r="D349" s="41">
        <v>4300</v>
      </c>
      <c r="E349" s="42" t="s">
        <v>1000</v>
      </c>
      <c r="F349" s="65">
        <v>99200</v>
      </c>
      <c r="G349" s="43">
        <f>99200-40000</f>
        <v>59200</v>
      </c>
      <c r="H349" s="44"/>
      <c r="I349" s="44"/>
      <c r="J349" s="44"/>
      <c r="K349" s="44"/>
      <c r="L349" s="44"/>
      <c r="M349" s="44"/>
      <c r="N349" s="44"/>
      <c r="O349" s="44"/>
      <c r="P349" s="45">
        <f t="shared" si="165"/>
        <v>59200</v>
      </c>
      <c r="Q349" s="43">
        <v>435.31</v>
      </c>
      <c r="R349" s="43">
        <v>35.31</v>
      </c>
      <c r="S349" s="43">
        <v>1825.05</v>
      </c>
      <c r="T349" s="43">
        <v>3310</v>
      </c>
      <c r="U349" s="43">
        <v>8924.7</v>
      </c>
      <c r="V349" s="43">
        <v>7004.79</v>
      </c>
      <c r="W349" s="43"/>
      <c r="X349" s="43"/>
      <c r="Y349" s="43"/>
      <c r="Z349" s="43"/>
      <c r="AA349" s="43"/>
      <c r="AB349" s="43"/>
      <c r="AC349" s="46">
        <f t="shared" si="166"/>
        <v>21535.16</v>
      </c>
      <c r="AD349" s="43">
        <f t="shared" si="167"/>
        <v>37664.84</v>
      </c>
      <c r="AE349" s="338">
        <f aca="true" t="shared" si="168" ref="AE349:AE354">AC349*100/P349</f>
        <v>36.37695945945946</v>
      </c>
    </row>
    <row r="350" spans="2:31" s="28" customFormat="1" ht="12.75">
      <c r="B350" s="33"/>
      <c r="C350" s="41"/>
      <c r="D350" s="41">
        <v>4410</v>
      </c>
      <c r="E350" s="42" t="s">
        <v>635</v>
      </c>
      <c r="F350" s="65">
        <v>500</v>
      </c>
      <c r="G350" s="43">
        <v>500</v>
      </c>
      <c r="H350" s="44"/>
      <c r="I350" s="44"/>
      <c r="J350" s="44"/>
      <c r="K350" s="44"/>
      <c r="L350" s="44"/>
      <c r="M350" s="44"/>
      <c r="N350" s="44"/>
      <c r="O350" s="44"/>
      <c r="P350" s="45">
        <f t="shared" si="165"/>
        <v>500</v>
      </c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6">
        <f t="shared" si="166"/>
        <v>0</v>
      </c>
      <c r="AD350" s="43">
        <f t="shared" si="167"/>
        <v>500</v>
      </c>
      <c r="AE350" s="338">
        <f t="shared" si="168"/>
        <v>0</v>
      </c>
    </row>
    <row r="351" spans="2:31" s="28" customFormat="1" ht="12.75">
      <c r="B351" s="33"/>
      <c r="C351" s="41"/>
      <c r="D351" s="41">
        <v>4430</v>
      </c>
      <c r="E351" s="42" t="s">
        <v>1007</v>
      </c>
      <c r="F351" s="65">
        <v>1000</v>
      </c>
      <c r="G351" s="43">
        <v>1000</v>
      </c>
      <c r="H351" s="44"/>
      <c r="I351" s="44"/>
      <c r="J351" s="44"/>
      <c r="K351" s="44"/>
      <c r="L351" s="44"/>
      <c r="M351" s="44"/>
      <c r="N351" s="44"/>
      <c r="O351" s="44"/>
      <c r="P351" s="45">
        <f t="shared" si="165"/>
        <v>1000</v>
      </c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6">
        <f t="shared" si="166"/>
        <v>0</v>
      </c>
      <c r="AD351" s="43">
        <f t="shared" si="167"/>
        <v>1000</v>
      </c>
      <c r="AE351" s="338">
        <f t="shared" si="168"/>
        <v>0</v>
      </c>
    </row>
    <row r="352" spans="2:31" s="28" customFormat="1" ht="25.5">
      <c r="B352" s="586"/>
      <c r="C352" s="587"/>
      <c r="D352" s="41">
        <v>6050</v>
      </c>
      <c r="E352" s="42" t="s">
        <v>1001</v>
      </c>
      <c r="F352" s="65">
        <v>50000</v>
      </c>
      <c r="G352" s="43">
        <f>50000-40000</f>
        <v>10000</v>
      </c>
      <c r="H352" s="44">
        <v>40000</v>
      </c>
      <c r="I352" s="44"/>
      <c r="J352" s="44"/>
      <c r="K352" s="44"/>
      <c r="L352" s="44"/>
      <c r="M352" s="44"/>
      <c r="N352" s="44"/>
      <c r="O352" s="44"/>
      <c r="P352" s="45">
        <f t="shared" si="165"/>
        <v>50000</v>
      </c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6">
        <f>SUM(Q352:AB352)</f>
        <v>0</v>
      </c>
      <c r="AD352" s="43">
        <f>P352-AC352</f>
        <v>50000</v>
      </c>
      <c r="AE352" s="338">
        <f t="shared" si="168"/>
        <v>0</v>
      </c>
    </row>
    <row r="353" spans="2:31" s="28" customFormat="1" ht="25.5">
      <c r="B353" s="586"/>
      <c r="C353" s="587"/>
      <c r="D353" s="587">
        <v>6060</v>
      </c>
      <c r="E353" s="42" t="s">
        <v>573</v>
      </c>
      <c r="F353" s="588"/>
      <c r="G353" s="589"/>
      <c r="H353" s="590"/>
      <c r="I353" s="590"/>
      <c r="J353" s="590">
        <v>12450</v>
      </c>
      <c r="K353" s="590"/>
      <c r="L353" s="590"/>
      <c r="M353" s="590"/>
      <c r="N353" s="590"/>
      <c r="O353" s="590"/>
      <c r="P353" s="45">
        <f t="shared" si="165"/>
        <v>12450</v>
      </c>
      <c r="Q353" s="589"/>
      <c r="R353" s="589"/>
      <c r="S353" s="589"/>
      <c r="T353" s="589"/>
      <c r="U353" s="43">
        <v>12450</v>
      </c>
      <c r="V353" s="589"/>
      <c r="W353" s="589"/>
      <c r="X353" s="589"/>
      <c r="Y353" s="589"/>
      <c r="Z353" s="589"/>
      <c r="AA353" s="589"/>
      <c r="AB353" s="589"/>
      <c r="AC353" s="46">
        <f>SUM(Q353:AB353)</f>
        <v>12450</v>
      </c>
      <c r="AD353" s="43">
        <f>P353-AC353</f>
        <v>0</v>
      </c>
      <c r="AE353" s="338">
        <f t="shared" si="168"/>
        <v>100</v>
      </c>
    </row>
    <row r="354" spans="2:31" s="28" customFormat="1" ht="13.5" thickBot="1">
      <c r="B354" s="345"/>
      <c r="C354" s="346"/>
      <c r="D354" s="346"/>
      <c r="E354" s="347" t="s">
        <v>989</v>
      </c>
      <c r="F354" s="349" t="e">
        <f>F5+F25+F31+F47+F92+F101+F133+F136+F257+F275+F323+F336+F341+F39+F130+F124+F21+F320</f>
        <v>#REF!</v>
      </c>
      <c r="G354" s="591">
        <f>G5+G25+G31+G47+G92+G101+G133+G136+G257+G275+G323+G336+G341+G39+G130+G124+G21+G320</f>
        <v>16145584</v>
      </c>
      <c r="H354" s="592">
        <f aca="true" t="shared" si="169" ref="H354:AD354">H5+H25+H31+H47+H92+H101+H133+H136+H257+H275+H323+H336+H341+H39+H130+H124+H21+H320</f>
        <v>3027413</v>
      </c>
      <c r="I354" s="592">
        <f t="shared" si="169"/>
        <v>15400</v>
      </c>
      <c r="J354" s="592">
        <f t="shared" si="169"/>
        <v>743441</v>
      </c>
      <c r="K354" s="350" t="e">
        <f t="shared" si="169"/>
        <v>#REF!</v>
      </c>
      <c r="L354" s="350" t="e">
        <f t="shared" si="169"/>
        <v>#REF!</v>
      </c>
      <c r="M354" s="349" t="e">
        <f t="shared" si="169"/>
        <v>#REF!</v>
      </c>
      <c r="N354" s="350" t="e">
        <f t="shared" si="169"/>
        <v>#REF!</v>
      </c>
      <c r="O354" s="349" t="e">
        <f t="shared" si="169"/>
        <v>#REF!</v>
      </c>
      <c r="P354" s="348">
        <f t="shared" si="169"/>
        <v>19931838</v>
      </c>
      <c r="Q354" s="348">
        <f t="shared" si="169"/>
        <v>1058836.76</v>
      </c>
      <c r="R354" s="348">
        <f t="shared" si="169"/>
        <v>1242336.89</v>
      </c>
      <c r="S354" s="348">
        <f t="shared" si="169"/>
        <v>1514432.3900000006</v>
      </c>
      <c r="T354" s="348">
        <f t="shared" si="169"/>
        <v>1347263.4300000004</v>
      </c>
      <c r="U354" s="348">
        <f t="shared" si="169"/>
        <v>1569912.3800000004</v>
      </c>
      <c r="V354" s="140">
        <f>V5+V25+V31+V47+V92+V101+V133+V136+V257+V275+V323+V336+V341+V39+V130+V124+V21+V320</f>
        <v>1574971.5100000002</v>
      </c>
      <c r="W354" s="348">
        <f t="shared" si="169"/>
        <v>0</v>
      </c>
      <c r="X354" s="348">
        <f t="shared" si="169"/>
        <v>0</v>
      </c>
      <c r="Y354" s="348">
        <f t="shared" si="169"/>
        <v>0</v>
      </c>
      <c r="Z354" s="348">
        <f t="shared" si="169"/>
        <v>0</v>
      </c>
      <c r="AA354" s="348">
        <f t="shared" si="169"/>
        <v>0</v>
      </c>
      <c r="AB354" s="348">
        <f t="shared" si="169"/>
        <v>0</v>
      </c>
      <c r="AC354" s="348">
        <f t="shared" si="169"/>
        <v>8307753.359999999</v>
      </c>
      <c r="AD354" s="348">
        <f t="shared" si="169"/>
        <v>11624294.949999997</v>
      </c>
      <c r="AE354" s="351">
        <f t="shared" si="168"/>
        <v>41.680819199915234</v>
      </c>
    </row>
    <row r="355" spans="6:31" s="28" customFormat="1" ht="15">
      <c r="F355" s="593"/>
      <c r="G355" s="47"/>
      <c r="H355" s="76"/>
      <c r="I355" s="47">
        <f>'[2]Dochody zał.Nr 1'!H126-'[2]Wydatki zał.Nr 2'!J354</f>
        <v>0</v>
      </c>
      <c r="J355" s="47">
        <f>'[2]Dochody zał.Nr 1'!I126-'[2]Wydatki zał.Nr 2'!K354</f>
        <v>40000</v>
      </c>
      <c r="K355" s="47"/>
      <c r="L355" s="47"/>
      <c r="M355" s="47"/>
      <c r="N355" s="76"/>
      <c r="O355" s="76"/>
      <c r="P355" s="77"/>
      <c r="Q355" s="47"/>
      <c r="R355" s="47">
        <f>-'[1]Szamotuły'!R134</f>
        <v>0</v>
      </c>
      <c r="S355" s="47"/>
      <c r="T355" s="47"/>
      <c r="U355" s="47"/>
      <c r="V355" s="47"/>
      <c r="W355" s="47">
        <f>-'[1]Szamotuły'!V134</f>
        <v>0</v>
      </c>
      <c r="X355" s="47">
        <f>-'[1]Szamotuły'!W134</f>
        <v>0</v>
      </c>
      <c r="Y355" s="47">
        <f>-'[1]Szamotuły'!X134</f>
        <v>0</v>
      </c>
      <c r="Z355" s="47">
        <f>-'[1]Szamotuły'!Y134</f>
        <v>0</v>
      </c>
      <c r="AA355" s="47">
        <f>-'[1]Szamotuły'!Z134</f>
        <v>0</v>
      </c>
      <c r="AB355" s="47">
        <f>-'[1]Szamotuły'!AA134</f>
        <v>0</v>
      </c>
      <c r="AC355" s="352"/>
      <c r="AD355" s="353"/>
      <c r="AE355" s="354"/>
    </row>
    <row r="356" ht="12.75">
      <c r="P356" s="24"/>
    </row>
    <row r="357" ht="12.75">
      <c r="P357" s="24"/>
    </row>
    <row r="358" ht="12.75">
      <c r="P358" s="24"/>
    </row>
    <row r="359" ht="12.75">
      <c r="P359" s="24"/>
    </row>
    <row r="360" ht="12.75">
      <c r="P360" s="24"/>
    </row>
    <row r="361" ht="12.75">
      <c r="P361" s="24"/>
    </row>
    <row r="362" ht="12.75">
      <c r="P362" s="24"/>
    </row>
    <row r="363" ht="12.75">
      <c r="P363" s="24"/>
    </row>
    <row r="364" ht="12.75">
      <c r="P364" s="24"/>
    </row>
    <row r="365" ht="12.75">
      <c r="P365" s="24"/>
    </row>
    <row r="366" ht="12.75">
      <c r="P366" s="24"/>
    </row>
    <row r="367" ht="12.75">
      <c r="P367" s="24"/>
    </row>
    <row r="368" ht="12.75">
      <c r="P368" s="24"/>
    </row>
    <row r="369" ht="12.75">
      <c r="P369" s="24"/>
    </row>
    <row r="370" ht="12.75">
      <c r="P370" s="24"/>
    </row>
    <row r="371" ht="12.75">
      <c r="P371" s="24"/>
    </row>
    <row r="372" ht="12.75">
      <c r="P372" s="24"/>
    </row>
    <row r="373" ht="12.75">
      <c r="P373" s="24"/>
    </row>
    <row r="374" ht="12.75">
      <c r="P374" s="24"/>
    </row>
    <row r="375" ht="12.75">
      <c r="P375" s="24"/>
    </row>
    <row r="376" ht="12.75">
      <c r="P376" s="24"/>
    </row>
    <row r="377" ht="12.75">
      <c r="P377" s="24"/>
    </row>
    <row r="378" ht="12.75">
      <c r="P378" s="24"/>
    </row>
    <row r="379" ht="12.75">
      <c r="P379" s="24"/>
    </row>
    <row r="380" ht="12.75">
      <c r="P380" s="24"/>
    </row>
    <row r="381" ht="12.75">
      <c r="P381" s="24"/>
    </row>
    <row r="382" ht="12.75">
      <c r="P382" s="24"/>
    </row>
    <row r="383" ht="12.75">
      <c r="P383" s="24"/>
    </row>
    <row r="384" ht="12.75">
      <c r="P384" s="24"/>
    </row>
    <row r="385" ht="12.75">
      <c r="P385" s="24"/>
    </row>
    <row r="386" ht="12.75">
      <c r="P386" s="24"/>
    </row>
    <row r="387" ht="12.75">
      <c r="P387" s="24"/>
    </row>
    <row r="388" ht="12.75">
      <c r="P388" s="24"/>
    </row>
  </sheetData>
  <mergeCells count="1">
    <mergeCell ref="AF267:AG267"/>
  </mergeCells>
  <printOptions horizontalCentered="1"/>
  <pageMargins left="0.15748031496062992" right="0.15748031496062992" top="0.15748031496062992" bottom="0.15748031496062992" header="0.15748031496062992" footer="0.1574803149606299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B1:AE71"/>
  <sheetViews>
    <sheetView zoomScale="150" zoomScaleNormal="150" workbookViewId="0" topLeftCell="A24">
      <selection activeCell="B1" sqref="B1:AE37"/>
    </sheetView>
  </sheetViews>
  <sheetFormatPr defaultColWidth="9.140625" defaultRowHeight="28.5" customHeight="1"/>
  <cols>
    <col min="1" max="1" width="3.7109375" style="18" customWidth="1"/>
    <col min="2" max="2" width="5.28125" style="18" customWidth="1"/>
    <col min="3" max="3" width="7.8515625" style="18" customWidth="1"/>
    <col min="4" max="4" width="4.8515625" style="18" customWidth="1"/>
    <col min="5" max="5" width="36.57421875" style="18" customWidth="1"/>
    <col min="6" max="6" width="16.00390625" style="594" hidden="1" customWidth="1"/>
    <col min="7" max="7" width="12.57421875" style="18" hidden="1" customWidth="1"/>
    <col min="8" max="8" width="11.7109375" style="82" hidden="1" customWidth="1"/>
    <col min="9" max="9" width="12.00390625" style="18" hidden="1" customWidth="1"/>
    <col min="10" max="10" width="13.00390625" style="18" hidden="1" customWidth="1"/>
    <col min="11" max="11" width="12.421875" style="18" hidden="1" customWidth="1"/>
    <col min="12" max="12" width="14.140625" style="18" hidden="1" customWidth="1"/>
    <col min="13" max="13" width="13.00390625" style="18" hidden="1" customWidth="1"/>
    <col min="14" max="14" width="15.140625" style="82" hidden="1" customWidth="1"/>
    <col min="15" max="15" width="12.140625" style="82" hidden="1" customWidth="1"/>
    <col min="16" max="16" width="17.7109375" style="83" customWidth="1"/>
    <col min="17" max="17" width="14.28125" style="18" hidden="1" customWidth="1"/>
    <col min="18" max="20" width="14.00390625" style="18" hidden="1" customWidth="1"/>
    <col min="21" max="21" width="11.140625" style="18" hidden="1" customWidth="1"/>
    <col min="22" max="27" width="14.00390625" style="18" hidden="1" customWidth="1"/>
    <col min="28" max="28" width="4.140625" style="18" hidden="1" customWidth="1"/>
    <col min="29" max="29" width="18.421875" style="18" customWidth="1"/>
    <col min="30" max="30" width="16.57421875" style="18" hidden="1" customWidth="1"/>
    <col min="31" max="31" width="6.8515625" style="18" customWidth="1"/>
    <col min="32" max="32" width="10.421875" style="18" customWidth="1"/>
    <col min="33" max="35" width="11.57421875" style="18" customWidth="1"/>
    <col min="36" max="16384" width="9.140625" style="18" customWidth="1"/>
  </cols>
  <sheetData>
    <row r="1" spans="2:31" ht="15.75" customHeight="1">
      <c r="B1" s="19" t="s">
        <v>955</v>
      </c>
      <c r="C1" s="20"/>
      <c r="D1" s="21"/>
      <c r="F1" s="580"/>
      <c r="G1" s="22"/>
      <c r="H1" s="23"/>
      <c r="I1" s="22"/>
      <c r="J1" s="22"/>
      <c r="K1" s="22"/>
      <c r="L1" s="22"/>
      <c r="M1" s="22"/>
      <c r="N1" s="23"/>
      <c r="O1" s="23"/>
      <c r="P1" s="24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815" t="s">
        <v>692</v>
      </c>
      <c r="AD1" s="815"/>
      <c r="AE1" s="815"/>
    </row>
    <row r="2" spans="2:31" ht="15.75" thickBot="1">
      <c r="B2" s="19"/>
      <c r="C2" s="20"/>
      <c r="D2" s="21"/>
      <c r="F2" s="580"/>
      <c r="G2" s="22"/>
      <c r="H2" s="23"/>
      <c r="I2" s="22"/>
      <c r="J2" s="22"/>
      <c r="K2" s="22"/>
      <c r="L2" s="22"/>
      <c r="M2" s="22"/>
      <c r="N2" s="23"/>
      <c r="O2" s="23"/>
      <c r="P2" s="24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5"/>
      <c r="AD2" s="26"/>
      <c r="AE2" s="27"/>
    </row>
    <row r="3" spans="2:31" s="28" customFormat="1" ht="63.75" thickBot="1">
      <c r="B3" s="398" t="s">
        <v>135</v>
      </c>
      <c r="C3" s="397" t="s">
        <v>993</v>
      </c>
      <c r="D3" s="397" t="s">
        <v>137</v>
      </c>
      <c r="E3" s="397" t="s">
        <v>138</v>
      </c>
      <c r="F3" s="581" t="s">
        <v>1052</v>
      </c>
      <c r="G3" s="397" t="s">
        <v>1052</v>
      </c>
      <c r="H3" s="326" t="s">
        <v>139</v>
      </c>
      <c r="I3" s="326"/>
      <c r="J3" s="326" t="s">
        <v>154</v>
      </c>
      <c r="K3" s="321"/>
      <c r="L3" s="327"/>
      <c r="M3" s="321"/>
      <c r="N3" s="326"/>
      <c r="O3" s="326" t="s">
        <v>154</v>
      </c>
      <c r="P3" s="396" t="s">
        <v>282</v>
      </c>
      <c r="Q3" s="395" t="s">
        <v>646</v>
      </c>
      <c r="R3" s="397" t="s">
        <v>142</v>
      </c>
      <c r="S3" s="397" t="s">
        <v>143</v>
      </c>
      <c r="T3" s="397" t="s">
        <v>144</v>
      </c>
      <c r="U3" s="397" t="s">
        <v>145</v>
      </c>
      <c r="V3" s="397" t="s">
        <v>146</v>
      </c>
      <c r="W3" s="397" t="s">
        <v>147</v>
      </c>
      <c r="X3" s="397" t="s">
        <v>148</v>
      </c>
      <c r="Y3" s="397" t="s">
        <v>149</v>
      </c>
      <c r="Z3" s="397" t="s">
        <v>150</v>
      </c>
      <c r="AA3" s="397" t="s">
        <v>151</v>
      </c>
      <c r="AB3" s="397" t="s">
        <v>152</v>
      </c>
      <c r="AC3" s="395" t="s">
        <v>783</v>
      </c>
      <c r="AD3" s="501" t="s">
        <v>995</v>
      </c>
      <c r="AE3" s="502" t="s">
        <v>153</v>
      </c>
    </row>
    <row r="4" spans="2:31" ht="12.75">
      <c r="B4" s="329"/>
      <c r="C4" s="330"/>
      <c r="D4" s="330"/>
      <c r="E4" s="330"/>
      <c r="F4" s="582" t="s">
        <v>1053</v>
      </c>
      <c r="G4" s="330" t="s">
        <v>1054</v>
      </c>
      <c r="H4" s="331"/>
      <c r="I4" s="331"/>
      <c r="J4" s="331"/>
      <c r="K4" s="331"/>
      <c r="L4" s="331"/>
      <c r="M4" s="331"/>
      <c r="N4" s="331"/>
      <c r="O4" s="331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2"/>
      <c r="AD4" s="332"/>
      <c r="AE4" s="333"/>
    </row>
    <row r="5" spans="2:31" ht="12.75">
      <c r="B5" s="334" t="s">
        <v>155</v>
      </c>
      <c r="C5" s="29"/>
      <c r="D5" s="29"/>
      <c r="E5" s="30" t="s">
        <v>156</v>
      </c>
      <c r="F5" s="335" t="e">
        <f>#REF!+#REF!+#REF!+F6+#REF!</f>
        <v>#REF!</v>
      </c>
      <c r="G5" s="31" t="e">
        <f>#REF!+#REF!+#REF!+G6+#REF!</f>
        <v>#REF!</v>
      </c>
      <c r="H5" s="32" t="e">
        <f>#REF!+#REF!+#REF!+H6+#REF!</f>
        <v>#REF!</v>
      </c>
      <c r="I5" s="335" t="e">
        <f>#REF!+#REF!+#REF!+I6+#REF!</f>
        <v>#REF!</v>
      </c>
      <c r="J5" s="335" t="e">
        <f>#REF!+#REF!+#REF!+J6+#REF!</f>
        <v>#REF!</v>
      </c>
      <c r="K5" s="32" t="e">
        <f>#REF!+#REF!+#REF!+K6+#REF!</f>
        <v>#REF!</v>
      </c>
      <c r="L5" s="32" t="e">
        <f>#REF!+#REF!+#REF!+L6+#REF!</f>
        <v>#REF!</v>
      </c>
      <c r="M5" s="32" t="e">
        <f>#REF!+#REF!+#REF!+M6+#REF!</f>
        <v>#REF!</v>
      </c>
      <c r="N5" s="32" t="e">
        <f>#REF!+#REF!+#REF!+N6+#REF!</f>
        <v>#REF!</v>
      </c>
      <c r="O5" s="32" t="e">
        <f>#REF!+#REF!+#REF!+O6+#REF!</f>
        <v>#REF!</v>
      </c>
      <c r="P5" s="31">
        <f>P6</f>
        <v>20000</v>
      </c>
      <c r="Q5" s="31" t="e">
        <f>#REF!+#REF!+#REF!+Q6+#REF!</f>
        <v>#REF!</v>
      </c>
      <c r="R5" s="31" t="e">
        <f>#REF!+#REF!+#REF!+R6+#REF!</f>
        <v>#REF!</v>
      </c>
      <c r="S5" s="31" t="e">
        <f>#REF!+#REF!+#REF!+S6+#REF!</f>
        <v>#REF!</v>
      </c>
      <c r="T5" s="31" t="e">
        <f>#REF!+#REF!+#REF!+T6+#REF!</f>
        <v>#REF!</v>
      </c>
      <c r="U5" s="31" t="e">
        <f>#REF!+#REF!+#REF!+U6+#REF!</f>
        <v>#REF!</v>
      </c>
      <c r="V5" s="31" t="e">
        <f>#REF!+#REF!+#REF!+V6+#REF!</f>
        <v>#REF!</v>
      </c>
      <c r="W5" s="31" t="e">
        <f>#REF!+#REF!+#REF!+W6+#REF!</f>
        <v>#REF!</v>
      </c>
      <c r="X5" s="31" t="e">
        <f>#REF!+#REF!+#REF!+X6+#REF!</f>
        <v>#REF!</v>
      </c>
      <c r="Y5" s="31" t="e">
        <f>#REF!+#REF!+#REF!+Y6+#REF!</f>
        <v>#REF!</v>
      </c>
      <c r="Z5" s="31" t="e">
        <f>#REF!+#REF!+#REF!+Z6+#REF!</f>
        <v>#REF!</v>
      </c>
      <c r="AA5" s="31" t="e">
        <f>#REF!+#REF!+#REF!+AA6+#REF!</f>
        <v>#REF!</v>
      </c>
      <c r="AB5" s="31" t="e">
        <f>#REF!+#REF!+#REF!+AB6+#REF!</f>
        <v>#REF!</v>
      </c>
      <c r="AC5" s="31">
        <f>AC6</f>
        <v>9621.689999999999</v>
      </c>
      <c r="AD5" s="31" t="e">
        <f>#REF!+#REF!+#REF!+AD6+#REF!</f>
        <v>#REF!</v>
      </c>
      <c r="AE5" s="336">
        <f aca="true" t="shared" si="0" ref="AE5:AE13">AC5*100/P5</f>
        <v>48.10845</v>
      </c>
    </row>
    <row r="6" spans="2:31" s="28" customFormat="1" ht="12.75">
      <c r="B6" s="33"/>
      <c r="C6" s="34" t="s">
        <v>1004</v>
      </c>
      <c r="D6" s="41"/>
      <c r="E6" s="36" t="s">
        <v>1005</v>
      </c>
      <c r="F6" s="63">
        <f aca="true" t="shared" si="1" ref="F6:AD6">SUM(F7)</f>
        <v>17000</v>
      </c>
      <c r="G6" s="37">
        <f t="shared" si="1"/>
        <v>20000</v>
      </c>
      <c r="H6" s="38">
        <f t="shared" si="1"/>
        <v>0</v>
      </c>
      <c r="I6" s="38">
        <f t="shared" si="1"/>
        <v>0</v>
      </c>
      <c r="J6" s="38">
        <f t="shared" si="1"/>
        <v>0</v>
      </c>
      <c r="K6" s="38">
        <f t="shared" si="1"/>
        <v>0</v>
      </c>
      <c r="L6" s="38">
        <f t="shared" si="1"/>
        <v>0</v>
      </c>
      <c r="M6" s="38">
        <f t="shared" si="1"/>
        <v>0</v>
      </c>
      <c r="N6" s="38">
        <f t="shared" si="1"/>
        <v>0</v>
      </c>
      <c r="O6" s="38">
        <f t="shared" si="1"/>
        <v>0</v>
      </c>
      <c r="P6" s="39">
        <f>SUM(P7)</f>
        <v>20000</v>
      </c>
      <c r="Q6" s="37">
        <f t="shared" si="1"/>
        <v>0</v>
      </c>
      <c r="R6" s="37">
        <f t="shared" si="1"/>
        <v>0</v>
      </c>
      <c r="S6" s="37">
        <f t="shared" si="1"/>
        <v>637.49</v>
      </c>
      <c r="T6" s="37">
        <f t="shared" si="1"/>
        <v>3988.7</v>
      </c>
      <c r="U6" s="37">
        <f t="shared" si="1"/>
        <v>292.33</v>
      </c>
      <c r="V6" s="37">
        <f t="shared" si="1"/>
        <v>4703.17</v>
      </c>
      <c r="W6" s="37">
        <f t="shared" si="1"/>
        <v>0</v>
      </c>
      <c r="X6" s="37">
        <f t="shared" si="1"/>
        <v>0</v>
      </c>
      <c r="Y6" s="37">
        <f t="shared" si="1"/>
        <v>0</v>
      </c>
      <c r="Z6" s="37">
        <f t="shared" si="1"/>
        <v>0</v>
      </c>
      <c r="AA6" s="37">
        <f t="shared" si="1"/>
        <v>0</v>
      </c>
      <c r="AB6" s="37">
        <f t="shared" si="1"/>
        <v>0</v>
      </c>
      <c r="AC6" s="37">
        <f t="shared" si="1"/>
        <v>9621.689999999999</v>
      </c>
      <c r="AD6" s="37">
        <f t="shared" si="1"/>
        <v>10378.310000000001</v>
      </c>
      <c r="AE6" s="337">
        <f t="shared" si="0"/>
        <v>48.10845</v>
      </c>
    </row>
    <row r="7" spans="2:31" s="28" customFormat="1" ht="38.25">
      <c r="B7" s="33"/>
      <c r="C7" s="41"/>
      <c r="D7" s="41">
        <v>2850</v>
      </c>
      <c r="E7" s="42" t="s">
        <v>1006</v>
      </c>
      <c r="F7" s="65">
        <v>17000</v>
      </c>
      <c r="G7" s="43">
        <f>18500+1500</f>
        <v>20000</v>
      </c>
      <c r="H7" s="44"/>
      <c r="I7" s="44"/>
      <c r="J7" s="44"/>
      <c r="K7" s="44"/>
      <c r="L7" s="44"/>
      <c r="M7" s="44"/>
      <c r="N7" s="44"/>
      <c r="O7" s="44"/>
      <c r="P7" s="45">
        <f>G7+H7+I7+J7+K7+L7+M7+N7+O7</f>
        <v>20000</v>
      </c>
      <c r="Q7" s="43"/>
      <c r="R7" s="43"/>
      <c r="S7" s="43">
        <v>637.49</v>
      </c>
      <c r="T7" s="43">
        <v>3988.7</v>
      </c>
      <c r="U7" s="43">
        <v>292.33</v>
      </c>
      <c r="V7" s="43">
        <v>4703.17</v>
      </c>
      <c r="W7" s="43"/>
      <c r="X7" s="43"/>
      <c r="Y7" s="43"/>
      <c r="Z7" s="43"/>
      <c r="AA7" s="43"/>
      <c r="AB7" s="43"/>
      <c r="AC7" s="46">
        <f>SUM(Q7:AB7)</f>
        <v>9621.689999999999</v>
      </c>
      <c r="AD7" s="43">
        <f>P7-AC7</f>
        <v>10378.310000000001</v>
      </c>
      <c r="AE7" s="338">
        <f t="shared" si="0"/>
        <v>48.10845</v>
      </c>
    </row>
    <row r="8" spans="2:31" s="28" customFormat="1" ht="12.75">
      <c r="B8" s="53">
        <v>600</v>
      </c>
      <c r="C8" s="54"/>
      <c r="D8" s="54"/>
      <c r="E8" s="55" t="s">
        <v>169</v>
      </c>
      <c r="F8" s="62" t="e">
        <f>#REF!+F9</f>
        <v>#REF!</v>
      </c>
      <c r="G8" s="51" t="e">
        <f>#REF!+G9</f>
        <v>#REF!</v>
      </c>
      <c r="H8" s="52" t="e">
        <f>#REF!+H9</f>
        <v>#REF!</v>
      </c>
      <c r="I8" s="52" t="e">
        <f>#REF!+I9</f>
        <v>#REF!</v>
      </c>
      <c r="J8" s="52" t="e">
        <f>#REF!+J9</f>
        <v>#REF!</v>
      </c>
      <c r="K8" s="52" t="e">
        <f>#REF!+K9</f>
        <v>#REF!</v>
      </c>
      <c r="L8" s="52" t="e">
        <f>#REF!+L9</f>
        <v>#REF!</v>
      </c>
      <c r="M8" s="52" t="e">
        <f>#REF!+M9</f>
        <v>#REF!</v>
      </c>
      <c r="N8" s="52" t="e">
        <f>#REF!+N9</f>
        <v>#REF!</v>
      </c>
      <c r="O8" s="52" t="e">
        <f>#REF!+O9</f>
        <v>#REF!</v>
      </c>
      <c r="P8" s="51">
        <f>P9</f>
        <v>114990</v>
      </c>
      <c r="Q8" s="51" t="e">
        <f>#REF!+Q9</f>
        <v>#REF!</v>
      </c>
      <c r="R8" s="51" t="e">
        <f>#REF!+R9</f>
        <v>#REF!</v>
      </c>
      <c r="S8" s="51" t="e">
        <f>#REF!+S9</f>
        <v>#REF!</v>
      </c>
      <c r="T8" s="51" t="e">
        <f>#REF!+T9</f>
        <v>#REF!</v>
      </c>
      <c r="U8" s="51" t="e">
        <f>#REF!+U9</f>
        <v>#REF!</v>
      </c>
      <c r="V8" s="51" t="e">
        <f>#REF!+V9</f>
        <v>#REF!</v>
      </c>
      <c r="W8" s="51" t="e">
        <f>#REF!+W9</f>
        <v>#REF!</v>
      </c>
      <c r="X8" s="51" t="e">
        <f>#REF!+X9</f>
        <v>#REF!</v>
      </c>
      <c r="Y8" s="51" t="e">
        <f>#REF!+Y9</f>
        <v>#REF!</v>
      </c>
      <c r="Z8" s="51" t="e">
        <f>#REF!+Z9</f>
        <v>#REF!</v>
      </c>
      <c r="AA8" s="51" t="e">
        <f>#REF!+AA9</f>
        <v>#REF!</v>
      </c>
      <c r="AB8" s="51" t="e">
        <f>#REF!+AB9</f>
        <v>#REF!</v>
      </c>
      <c r="AC8" s="51">
        <f>AC9</f>
        <v>97690</v>
      </c>
      <c r="AD8" s="51" t="e">
        <f>#REF!+AD9</f>
        <v>#REF!</v>
      </c>
      <c r="AE8" s="336">
        <f t="shared" si="0"/>
        <v>84.9552134968258</v>
      </c>
    </row>
    <row r="9" spans="2:31" s="56" customFormat="1" ht="12.75">
      <c r="B9" s="340"/>
      <c r="C9" s="35">
        <v>60014</v>
      </c>
      <c r="D9" s="35"/>
      <c r="E9" s="36" t="s">
        <v>170</v>
      </c>
      <c r="F9" s="73">
        <f aca="true" t="shared" si="2" ref="F9:AD9">SUM(F10:F10)</f>
        <v>0</v>
      </c>
      <c r="G9" s="57">
        <f t="shared" si="2"/>
        <v>0</v>
      </c>
      <c r="H9" s="58">
        <f t="shared" si="2"/>
        <v>112000</v>
      </c>
      <c r="I9" s="58">
        <f t="shared" si="2"/>
        <v>0</v>
      </c>
      <c r="J9" s="58">
        <f t="shared" si="2"/>
        <v>2990</v>
      </c>
      <c r="K9" s="58">
        <f t="shared" si="2"/>
        <v>0</v>
      </c>
      <c r="L9" s="58">
        <f t="shared" si="2"/>
        <v>0</v>
      </c>
      <c r="M9" s="58">
        <f t="shared" si="2"/>
        <v>0</v>
      </c>
      <c r="N9" s="58">
        <f t="shared" si="2"/>
        <v>0</v>
      </c>
      <c r="O9" s="58">
        <f t="shared" si="2"/>
        <v>0</v>
      </c>
      <c r="P9" s="39">
        <f t="shared" si="2"/>
        <v>114990</v>
      </c>
      <c r="Q9" s="57">
        <f t="shared" si="2"/>
        <v>0</v>
      </c>
      <c r="R9" s="57">
        <f t="shared" si="2"/>
        <v>0</v>
      </c>
      <c r="S9" s="57">
        <f t="shared" si="2"/>
        <v>0</v>
      </c>
      <c r="T9" s="57">
        <f t="shared" si="2"/>
        <v>0</v>
      </c>
      <c r="U9" s="57">
        <f t="shared" si="2"/>
        <v>0</v>
      </c>
      <c r="V9" s="57">
        <f t="shared" si="2"/>
        <v>97690</v>
      </c>
      <c r="W9" s="57">
        <f t="shared" si="2"/>
        <v>0</v>
      </c>
      <c r="X9" s="57">
        <f t="shared" si="2"/>
        <v>0</v>
      </c>
      <c r="Y9" s="57">
        <f t="shared" si="2"/>
        <v>0</v>
      </c>
      <c r="Z9" s="57">
        <f t="shared" si="2"/>
        <v>0</v>
      </c>
      <c r="AA9" s="57">
        <f t="shared" si="2"/>
        <v>0</v>
      </c>
      <c r="AB9" s="57">
        <f t="shared" si="2"/>
        <v>0</v>
      </c>
      <c r="AC9" s="57">
        <f t="shared" si="2"/>
        <v>97690</v>
      </c>
      <c r="AD9" s="57">
        <f t="shared" si="2"/>
        <v>17300</v>
      </c>
      <c r="AE9" s="337">
        <f t="shared" si="0"/>
        <v>84.9552134968258</v>
      </c>
    </row>
    <row r="10" spans="2:31" s="56" customFormat="1" ht="51">
      <c r="B10" s="340"/>
      <c r="C10" s="35"/>
      <c r="D10" s="72">
        <v>2710</v>
      </c>
      <c r="E10" s="378" t="s">
        <v>1008</v>
      </c>
      <c r="F10" s="61"/>
      <c r="G10" s="59"/>
      <c r="H10" s="60">
        <v>112000</v>
      </c>
      <c r="I10" s="60"/>
      <c r="J10" s="60">
        <f>17300-14310</f>
        <v>2990</v>
      </c>
      <c r="K10" s="60"/>
      <c r="L10" s="60"/>
      <c r="M10" s="60"/>
      <c r="N10" s="60"/>
      <c r="O10" s="60"/>
      <c r="P10" s="45">
        <f>G10+H10+I10+J10+K10+L10+M10+N10+O10</f>
        <v>114990</v>
      </c>
      <c r="Q10" s="59"/>
      <c r="R10" s="59"/>
      <c r="S10" s="59"/>
      <c r="T10" s="59"/>
      <c r="U10" s="59"/>
      <c r="V10" s="59">
        <v>97690</v>
      </c>
      <c r="W10" s="59"/>
      <c r="X10" s="59"/>
      <c r="Y10" s="59"/>
      <c r="Z10" s="59"/>
      <c r="AA10" s="59"/>
      <c r="AB10" s="59"/>
      <c r="AC10" s="46">
        <f>SUM(Q10:AB10)</f>
        <v>97690</v>
      </c>
      <c r="AD10" s="43">
        <f>P10-AC10</f>
        <v>17300</v>
      </c>
      <c r="AE10" s="338">
        <f t="shared" si="0"/>
        <v>84.9552134968258</v>
      </c>
    </row>
    <row r="11" spans="2:31" s="28" customFormat="1" ht="12.75">
      <c r="B11" s="53">
        <v>700</v>
      </c>
      <c r="C11" s="54"/>
      <c r="D11" s="54"/>
      <c r="E11" s="55" t="s">
        <v>175</v>
      </c>
      <c r="F11" s="62" t="e">
        <f>#REF!+F12</f>
        <v>#REF!</v>
      </c>
      <c r="G11" s="51" t="e">
        <f>#REF!+G12</f>
        <v>#REF!</v>
      </c>
      <c r="H11" s="52" t="e">
        <f>#REF!+H12</f>
        <v>#REF!</v>
      </c>
      <c r="I11" s="52" t="e">
        <f>#REF!+I12</f>
        <v>#REF!</v>
      </c>
      <c r="J11" s="52" t="e">
        <f>#REF!+J12</f>
        <v>#REF!</v>
      </c>
      <c r="K11" s="52" t="e">
        <f>#REF!+K12</f>
        <v>#REF!</v>
      </c>
      <c r="L11" s="52" t="e">
        <f>#REF!+L12</f>
        <v>#REF!</v>
      </c>
      <c r="M11" s="52" t="e">
        <f>#REF!+M12</f>
        <v>#REF!</v>
      </c>
      <c r="N11" s="52" t="e">
        <f>#REF!+N12</f>
        <v>#REF!</v>
      </c>
      <c r="O11" s="52" t="e">
        <f>#REF!+O12</f>
        <v>#REF!</v>
      </c>
      <c r="P11" s="51">
        <f>P12</f>
        <v>400230</v>
      </c>
      <c r="Q11" s="51" t="e">
        <f>#REF!+Q12</f>
        <v>#REF!</v>
      </c>
      <c r="R11" s="51" t="e">
        <f>#REF!+R12</f>
        <v>#REF!</v>
      </c>
      <c r="S11" s="51" t="e">
        <f>#REF!+S12</f>
        <v>#REF!</v>
      </c>
      <c r="T11" s="51" t="e">
        <f>#REF!+T12</f>
        <v>#REF!</v>
      </c>
      <c r="U11" s="51" t="e">
        <f>#REF!+U12</f>
        <v>#REF!</v>
      </c>
      <c r="V11" s="62" t="e">
        <f>#REF!+V12</f>
        <v>#REF!</v>
      </c>
      <c r="W11" s="51" t="e">
        <f>#REF!+W12</f>
        <v>#REF!</v>
      </c>
      <c r="X11" s="51" t="e">
        <f>#REF!+X12</f>
        <v>#REF!</v>
      </c>
      <c r="Y11" s="51" t="e">
        <f>#REF!+Y12</f>
        <v>#REF!</v>
      </c>
      <c r="Z11" s="51" t="e">
        <f>#REF!+Z12</f>
        <v>#REF!</v>
      </c>
      <c r="AA11" s="51" t="e">
        <f>#REF!+AA12</f>
        <v>#REF!</v>
      </c>
      <c r="AB11" s="51" t="e">
        <f>#REF!+AB12</f>
        <v>#REF!</v>
      </c>
      <c r="AC11" s="51">
        <f>AC12</f>
        <v>190000</v>
      </c>
      <c r="AD11" s="51" t="e">
        <f>#REF!+AD12</f>
        <v>#REF!</v>
      </c>
      <c r="AE11" s="336">
        <f t="shared" si="0"/>
        <v>47.4727031956625</v>
      </c>
    </row>
    <row r="12" spans="2:31" s="28" customFormat="1" ht="28.5" customHeight="1">
      <c r="B12" s="33"/>
      <c r="C12" s="35">
        <v>70004</v>
      </c>
      <c r="D12" s="35"/>
      <c r="E12" s="36" t="s">
        <v>570</v>
      </c>
      <c r="F12" s="63">
        <f>SUM(F13:F13)</f>
        <v>382930</v>
      </c>
      <c r="G12" s="37">
        <f>SUM(G13:G13)</f>
        <v>322930</v>
      </c>
      <c r="H12" s="38">
        <f>SUM(H13:H13)</f>
        <v>0</v>
      </c>
      <c r="I12" s="38">
        <f>SUM(I13:I13)</f>
        <v>0</v>
      </c>
      <c r="J12" s="38">
        <f aca="true" t="shared" si="3" ref="J12:O12">SUM(J13:J13)</f>
        <v>77300</v>
      </c>
      <c r="K12" s="38">
        <f t="shared" si="3"/>
        <v>0</v>
      </c>
      <c r="L12" s="38">
        <f t="shared" si="3"/>
        <v>0</v>
      </c>
      <c r="M12" s="38">
        <f t="shared" si="3"/>
        <v>0</v>
      </c>
      <c r="N12" s="38">
        <f t="shared" si="3"/>
        <v>0</v>
      </c>
      <c r="O12" s="38">
        <f t="shared" si="3"/>
        <v>0</v>
      </c>
      <c r="P12" s="39">
        <f>SUM(P13:P13)</f>
        <v>400230</v>
      </c>
      <c r="Q12" s="37">
        <f>SUM(Q13:Q13)</f>
        <v>0</v>
      </c>
      <c r="R12" s="37">
        <f aca="true" t="shared" si="4" ref="R12:AB12">SUM(R13:R13)</f>
        <v>50000</v>
      </c>
      <c r="S12" s="37">
        <f t="shared" si="4"/>
        <v>60000</v>
      </c>
      <c r="T12" s="37">
        <f t="shared" si="4"/>
        <v>50000</v>
      </c>
      <c r="U12" s="37">
        <f>SUM(U13:U13)</f>
        <v>0</v>
      </c>
      <c r="V12" s="63">
        <f>SUM(V13:V13)</f>
        <v>30000</v>
      </c>
      <c r="W12" s="37">
        <f t="shared" si="4"/>
        <v>0</v>
      </c>
      <c r="X12" s="37">
        <f t="shared" si="4"/>
        <v>0</v>
      </c>
      <c r="Y12" s="37">
        <f t="shared" si="4"/>
        <v>0</v>
      </c>
      <c r="Z12" s="37">
        <f t="shared" si="4"/>
        <v>0</v>
      </c>
      <c r="AA12" s="37">
        <f t="shared" si="4"/>
        <v>0</v>
      </c>
      <c r="AB12" s="37">
        <f t="shared" si="4"/>
        <v>0</v>
      </c>
      <c r="AC12" s="37">
        <f>SUM(AC13:AC13)</f>
        <v>190000</v>
      </c>
      <c r="AD12" s="37">
        <f>SUM(AD13:AD13)</f>
        <v>210230</v>
      </c>
      <c r="AE12" s="337">
        <f t="shared" si="0"/>
        <v>47.4727031956625</v>
      </c>
    </row>
    <row r="13" spans="2:31" s="22" customFormat="1" ht="25.5">
      <c r="B13" s="341"/>
      <c r="C13" s="64"/>
      <c r="D13" s="41">
        <v>2650</v>
      </c>
      <c r="E13" s="42" t="s">
        <v>571</v>
      </c>
      <c r="F13" s="65">
        <v>382930</v>
      </c>
      <c r="G13" s="43">
        <f>382930-60000</f>
        <v>322930</v>
      </c>
      <c r="H13" s="44"/>
      <c r="I13" s="44"/>
      <c r="J13" s="44">
        <v>77300</v>
      </c>
      <c r="K13" s="44"/>
      <c r="L13" s="44"/>
      <c r="M13" s="44"/>
      <c r="N13" s="44"/>
      <c r="O13" s="44"/>
      <c r="P13" s="45">
        <f>G13+H13+I13+J13+K13+L13+M13+N13+O13</f>
        <v>400230</v>
      </c>
      <c r="Q13" s="43"/>
      <c r="R13" s="43">
        <v>50000</v>
      </c>
      <c r="S13" s="43">
        <v>60000</v>
      </c>
      <c r="T13" s="43">
        <v>50000</v>
      </c>
      <c r="U13" s="43"/>
      <c r="V13" s="43">
        <v>30000</v>
      </c>
      <c r="W13" s="43"/>
      <c r="X13" s="43"/>
      <c r="Y13" s="43"/>
      <c r="Z13" s="43"/>
      <c r="AA13" s="43"/>
      <c r="AB13" s="43"/>
      <c r="AC13" s="46">
        <f>SUM(Q13:AB13)</f>
        <v>190000</v>
      </c>
      <c r="AD13" s="43">
        <f>P13-AC13</f>
        <v>210230</v>
      </c>
      <c r="AE13" s="338">
        <f t="shared" si="0"/>
        <v>47.4727031956625</v>
      </c>
    </row>
    <row r="14" spans="2:31" s="28" customFormat="1" ht="12.75" hidden="1">
      <c r="B14" s="33"/>
      <c r="C14" s="125">
        <v>75108</v>
      </c>
      <c r="D14" s="49"/>
      <c r="E14" s="126" t="s">
        <v>362</v>
      </c>
      <c r="F14" s="63">
        <f>SUM(F15:F19)</f>
        <v>0</v>
      </c>
      <c r="G14" s="37">
        <f>SUM(G15:G19)</f>
        <v>0</v>
      </c>
      <c r="H14" s="38">
        <f>SUM(H15:H19)</f>
        <v>0</v>
      </c>
      <c r="I14" s="38">
        <f aca="true" t="shared" si="5" ref="I14:O14">SUM(I15:I19)</f>
        <v>0</v>
      </c>
      <c r="J14" s="38">
        <f t="shared" si="5"/>
        <v>0</v>
      </c>
      <c r="K14" s="38">
        <f t="shared" si="5"/>
        <v>0</v>
      </c>
      <c r="L14" s="38">
        <f t="shared" si="5"/>
        <v>0</v>
      </c>
      <c r="M14" s="38">
        <f t="shared" si="5"/>
        <v>0</v>
      </c>
      <c r="N14" s="38">
        <f t="shared" si="5"/>
        <v>0</v>
      </c>
      <c r="O14" s="38">
        <f t="shared" si="5"/>
        <v>0</v>
      </c>
      <c r="P14" s="39">
        <f>SUM(P15:P19)</f>
        <v>0</v>
      </c>
      <c r="Q14" s="37">
        <f>SUM(Q15:Q19)</f>
        <v>0</v>
      </c>
      <c r="R14" s="37">
        <f aca="true" t="shared" si="6" ref="R14:AB14">SUM(R15:R19)</f>
        <v>0</v>
      </c>
      <c r="S14" s="37">
        <f t="shared" si="6"/>
        <v>0</v>
      </c>
      <c r="T14" s="37">
        <f t="shared" si="6"/>
        <v>0</v>
      </c>
      <c r="U14" s="37">
        <f t="shared" si="6"/>
        <v>0</v>
      </c>
      <c r="V14" s="37">
        <f t="shared" si="6"/>
        <v>0</v>
      </c>
      <c r="W14" s="37">
        <f t="shared" si="6"/>
        <v>0</v>
      </c>
      <c r="X14" s="37">
        <f t="shared" si="6"/>
        <v>0</v>
      </c>
      <c r="Y14" s="37">
        <f t="shared" si="6"/>
        <v>0</v>
      </c>
      <c r="Z14" s="37">
        <f t="shared" si="6"/>
        <v>0</v>
      </c>
      <c r="AA14" s="37">
        <f t="shared" si="6"/>
        <v>0</v>
      </c>
      <c r="AB14" s="37">
        <f t="shared" si="6"/>
        <v>0</v>
      </c>
      <c r="AC14" s="37">
        <f>SUM(AC15:AC19)</f>
        <v>0</v>
      </c>
      <c r="AD14" s="37">
        <f>SUM(AD15:AD19)</f>
        <v>0</v>
      </c>
      <c r="AE14" s="342" t="e">
        <f aca="true" t="shared" si="7" ref="AE14:AE20">AC14*100/P14</f>
        <v>#DIV/0!</v>
      </c>
    </row>
    <row r="15" spans="2:31" s="28" customFormat="1" ht="12.75" hidden="1">
      <c r="B15" s="33"/>
      <c r="C15" s="41"/>
      <c r="D15" s="41">
        <v>3030</v>
      </c>
      <c r="E15" s="42" t="s">
        <v>987</v>
      </c>
      <c r="F15" s="65"/>
      <c r="G15" s="43"/>
      <c r="H15" s="44"/>
      <c r="I15" s="44"/>
      <c r="J15" s="44"/>
      <c r="K15" s="44"/>
      <c r="L15" s="44"/>
      <c r="M15" s="44"/>
      <c r="N15" s="44"/>
      <c r="O15" s="44"/>
      <c r="P15" s="45">
        <f>G15+H15+I15+J15+K15+L15+M15+N15+O15</f>
        <v>0</v>
      </c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6">
        <f>SUM(Q15:AB15)</f>
        <v>0</v>
      </c>
      <c r="AD15" s="43">
        <f>P15-AC15</f>
        <v>0</v>
      </c>
      <c r="AE15" s="338" t="e">
        <f t="shared" si="7"/>
        <v>#DIV/0!</v>
      </c>
    </row>
    <row r="16" spans="2:31" s="28" customFormat="1" ht="12.75" hidden="1">
      <c r="B16" s="33"/>
      <c r="C16" s="41"/>
      <c r="D16" s="41">
        <v>4170</v>
      </c>
      <c r="E16" s="42" t="s">
        <v>640</v>
      </c>
      <c r="F16" s="65"/>
      <c r="G16" s="43"/>
      <c r="H16" s="44"/>
      <c r="I16" s="44"/>
      <c r="J16" s="44"/>
      <c r="K16" s="44"/>
      <c r="L16" s="44"/>
      <c r="M16" s="44"/>
      <c r="N16" s="44"/>
      <c r="O16" s="44"/>
      <c r="P16" s="45">
        <f>G16+H16+I16+J16+K16+L16+M16+N16+O16</f>
        <v>0</v>
      </c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6">
        <f>SUM(Q16:AB16)</f>
        <v>0</v>
      </c>
      <c r="AD16" s="43">
        <f>P16-AC16</f>
        <v>0</v>
      </c>
      <c r="AE16" s="338" t="e">
        <f t="shared" si="7"/>
        <v>#DIV/0!</v>
      </c>
    </row>
    <row r="17" spans="2:31" s="28" customFormat="1" ht="12.75" hidden="1">
      <c r="B17" s="33"/>
      <c r="C17" s="41"/>
      <c r="D17" s="41">
        <v>4210</v>
      </c>
      <c r="E17" s="42" t="s">
        <v>998</v>
      </c>
      <c r="F17" s="65"/>
      <c r="G17" s="43"/>
      <c r="H17" s="44"/>
      <c r="I17" s="44"/>
      <c r="J17" s="44"/>
      <c r="K17" s="44"/>
      <c r="L17" s="44"/>
      <c r="M17" s="44"/>
      <c r="N17" s="44"/>
      <c r="O17" s="44"/>
      <c r="P17" s="45">
        <f>G17+H17+I17+J17+K17+L17+M17+N17+O17</f>
        <v>0</v>
      </c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6">
        <f>SUM(Q17:AB17)</f>
        <v>0</v>
      </c>
      <c r="AD17" s="43">
        <f>P17-AC17</f>
        <v>0</v>
      </c>
      <c r="AE17" s="338" t="e">
        <f t="shared" si="7"/>
        <v>#DIV/0!</v>
      </c>
    </row>
    <row r="18" spans="2:31" s="28" customFormat="1" ht="12.75" hidden="1">
      <c r="B18" s="33"/>
      <c r="C18" s="41"/>
      <c r="D18" s="41">
        <v>4300</v>
      </c>
      <c r="E18" s="42" t="s">
        <v>1000</v>
      </c>
      <c r="F18" s="65"/>
      <c r="G18" s="43"/>
      <c r="H18" s="44"/>
      <c r="I18" s="44"/>
      <c r="J18" s="44"/>
      <c r="K18" s="44"/>
      <c r="L18" s="44"/>
      <c r="M18" s="44"/>
      <c r="N18" s="44"/>
      <c r="O18" s="44"/>
      <c r="P18" s="45">
        <f>G18+H18+I18+J18+K18+L18+M18+N18+O18</f>
        <v>0</v>
      </c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6">
        <f>SUM(Q18:AB18)</f>
        <v>0</v>
      </c>
      <c r="AD18" s="43">
        <f>P18-AC18</f>
        <v>0</v>
      </c>
      <c r="AE18" s="338" t="e">
        <f t="shared" si="7"/>
        <v>#DIV/0!</v>
      </c>
    </row>
    <row r="19" spans="2:31" s="28" customFormat="1" ht="12.75" hidden="1">
      <c r="B19" s="33"/>
      <c r="C19" s="41"/>
      <c r="D19" s="41">
        <v>4410</v>
      </c>
      <c r="E19" s="42" t="s">
        <v>635</v>
      </c>
      <c r="F19" s="65"/>
      <c r="G19" s="43"/>
      <c r="H19" s="44"/>
      <c r="I19" s="44"/>
      <c r="J19" s="44"/>
      <c r="K19" s="44"/>
      <c r="L19" s="44"/>
      <c r="M19" s="44"/>
      <c r="N19" s="44"/>
      <c r="O19" s="44"/>
      <c r="P19" s="45">
        <f>G19+H19+I19+J19+K19+L19+M19+N19+O19</f>
        <v>0</v>
      </c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6">
        <f>SUM(Q19:AB19)</f>
        <v>0</v>
      </c>
      <c r="AD19" s="43">
        <f>P19-AC19</f>
        <v>0</v>
      </c>
      <c r="AE19" s="338" t="e">
        <f t="shared" si="7"/>
        <v>#DIV/0!</v>
      </c>
    </row>
    <row r="20" spans="2:31" s="28" customFormat="1" ht="12.75">
      <c r="B20" s="53">
        <v>801</v>
      </c>
      <c r="C20" s="54"/>
      <c r="D20" s="54"/>
      <c r="E20" s="55" t="s">
        <v>546</v>
      </c>
      <c r="F20" s="62" t="e">
        <f>#REF!+F22+#REF!+#REF!+#REF!+#REF!+#REF!+#REF!</f>
        <v>#REF!</v>
      </c>
      <c r="G20" s="51" t="e">
        <f>#REF!+G22+#REF!+#REF!+#REF!+#REF!+#REF!+#REF!</f>
        <v>#REF!</v>
      </c>
      <c r="H20" s="52" t="e">
        <f>#REF!+H22+#REF!+#REF!+#REF!+#REF!+#REF!+#REF!</f>
        <v>#REF!</v>
      </c>
      <c r="I20" s="52" t="e">
        <f>#REF!+I22+#REF!+#REF!+#REF!+#REF!+#REF!+#REF!</f>
        <v>#REF!</v>
      </c>
      <c r="J20" s="52" t="e">
        <f>#REF!+J22+#REF!+#REF!+#REF!+#REF!+#REF!+#REF!</f>
        <v>#REF!</v>
      </c>
      <c r="K20" s="52" t="e">
        <f>#REF!+K22+#REF!+#REF!+#REF!+#REF!+#REF!+#REF!</f>
        <v>#REF!</v>
      </c>
      <c r="L20" s="52" t="e">
        <f>#REF!+L22+#REF!+#REF!+#REF!+#REF!+#REF!+#REF!</f>
        <v>#REF!</v>
      </c>
      <c r="M20" s="52" t="e">
        <f>#REF!+M22+#REF!+#REF!+#REF!+#REF!+#REF!+#REF!</f>
        <v>#REF!</v>
      </c>
      <c r="N20" s="52" t="e">
        <f>#REF!+N22+#REF!+#REF!+#REF!+#REF!+#REF!+#REF!</f>
        <v>#REF!</v>
      </c>
      <c r="O20" s="52" t="e">
        <f>#REF!+O22+#REF!+#REF!+#REF!+#REF!+#REF!+#REF!</f>
        <v>#REF!</v>
      </c>
      <c r="P20" s="51">
        <f>P22</f>
        <v>234000</v>
      </c>
      <c r="Q20" s="51" t="e">
        <f>#REF!+Q22+#REF!+#REF!+#REF!+#REF!+#REF!+#REF!</f>
        <v>#REF!</v>
      </c>
      <c r="R20" s="51" t="e">
        <f>#REF!+R22+#REF!+#REF!+#REF!+#REF!+#REF!+#REF!</f>
        <v>#REF!</v>
      </c>
      <c r="S20" s="51" t="e">
        <f>#REF!+S22+#REF!+#REF!+#REF!+#REF!+#REF!+#REF!</f>
        <v>#REF!</v>
      </c>
      <c r="T20" s="51" t="e">
        <f>#REF!+T22+#REF!+#REF!+#REF!+#REF!+#REF!+#REF!</f>
        <v>#REF!</v>
      </c>
      <c r="U20" s="51" t="e">
        <f>#REF!+U22+#REF!+#REF!+#REF!+#REF!+#REF!+#REF!</f>
        <v>#REF!</v>
      </c>
      <c r="V20" s="51" t="e">
        <f>#REF!+V22+#REF!+#REF!+#REF!+#REF!+#REF!+#REF!</f>
        <v>#REF!</v>
      </c>
      <c r="W20" s="51" t="e">
        <f>#REF!+W22+#REF!+#REF!+#REF!+#REF!+#REF!+#REF!</f>
        <v>#REF!</v>
      </c>
      <c r="X20" s="51" t="e">
        <f>#REF!+X22+#REF!+#REF!+#REF!+#REF!+#REF!+#REF!</f>
        <v>#REF!</v>
      </c>
      <c r="Y20" s="51" t="e">
        <f>#REF!+Y22+#REF!+#REF!+#REF!+#REF!+#REF!+#REF!</f>
        <v>#REF!</v>
      </c>
      <c r="Z20" s="51" t="e">
        <f>#REF!+Z22+#REF!+#REF!+#REF!+#REF!+#REF!+#REF!</f>
        <v>#REF!</v>
      </c>
      <c r="AA20" s="51" t="e">
        <f>#REF!+AA22+#REF!+#REF!+#REF!+#REF!+#REF!+#REF!</f>
        <v>#REF!</v>
      </c>
      <c r="AB20" s="51" t="e">
        <f>#REF!+AB22+#REF!+#REF!+#REF!+#REF!+#REF!+#REF!</f>
        <v>#REF!</v>
      </c>
      <c r="AC20" s="51">
        <f>AC22</f>
        <v>110409.59</v>
      </c>
      <c r="AD20" s="51" t="e">
        <f>#REF!+AD22+#REF!+#REF!+#REF!+#REF!+#REF!+#REF!</f>
        <v>#REF!</v>
      </c>
      <c r="AE20" s="336">
        <f t="shared" si="7"/>
        <v>47.18358547008547</v>
      </c>
    </row>
    <row r="21" spans="2:31" s="28" customFormat="1" ht="28.5" customHeight="1" hidden="1">
      <c r="B21" s="33"/>
      <c r="C21" s="41"/>
      <c r="D21" s="41">
        <v>6060</v>
      </c>
      <c r="E21" s="42" t="s">
        <v>573</v>
      </c>
      <c r="F21" s="65">
        <v>27500</v>
      </c>
      <c r="G21" s="43"/>
      <c r="H21" s="44"/>
      <c r="I21" s="44"/>
      <c r="J21" s="44"/>
      <c r="K21" s="44"/>
      <c r="L21" s="44"/>
      <c r="M21" s="44"/>
      <c r="N21" s="44"/>
      <c r="O21" s="44"/>
      <c r="P21" s="45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6"/>
      <c r="AD21" s="43"/>
      <c r="AE21" s="338"/>
    </row>
    <row r="22" spans="2:31" s="28" customFormat="1" ht="12.75">
      <c r="B22" s="33"/>
      <c r="C22" s="35">
        <v>80104</v>
      </c>
      <c r="D22" s="35"/>
      <c r="E22" s="36" t="s">
        <v>549</v>
      </c>
      <c r="F22" s="63">
        <f>SUM(F24:F25)</f>
        <v>254000</v>
      </c>
      <c r="G22" s="37">
        <f>SUM(G24:G25)</f>
        <v>234000</v>
      </c>
      <c r="H22" s="38">
        <f>SUM(H24:H25)</f>
        <v>0</v>
      </c>
      <c r="I22" s="38">
        <f>SUM(I23:I25)</f>
        <v>0</v>
      </c>
      <c r="J22" s="38">
        <f aca="true" t="shared" si="8" ref="J22:O22">SUM(J24:J25)</f>
        <v>0</v>
      </c>
      <c r="K22" s="38">
        <f t="shared" si="8"/>
        <v>0</v>
      </c>
      <c r="L22" s="38">
        <f t="shared" si="8"/>
        <v>0</v>
      </c>
      <c r="M22" s="38">
        <f t="shared" si="8"/>
        <v>0</v>
      </c>
      <c r="N22" s="38">
        <f t="shared" si="8"/>
        <v>0</v>
      </c>
      <c r="O22" s="38">
        <f t="shared" si="8"/>
        <v>0</v>
      </c>
      <c r="P22" s="39">
        <f>SUM(P23:P25)</f>
        <v>234000</v>
      </c>
      <c r="Q22" s="37">
        <f>SUM(Q24:Q25)</f>
        <v>13930.4</v>
      </c>
      <c r="R22" s="37">
        <f>SUM(R24:R25)</f>
        <v>13613.8</v>
      </c>
      <c r="S22" s="37">
        <f>SUM(S24:S25)</f>
        <v>24264.92</v>
      </c>
      <c r="T22" s="37">
        <f>SUM(T23:T25)</f>
        <v>18849.37</v>
      </c>
      <c r="U22" s="37">
        <f>SUM(U23:U25)</f>
        <v>19362.46</v>
      </c>
      <c r="V22" s="37">
        <f>SUM(V23:V25)</f>
        <v>20388.64</v>
      </c>
      <c r="W22" s="37">
        <f aca="true" t="shared" si="9" ref="W22:AB22">SUM(W24:W25)</f>
        <v>0</v>
      </c>
      <c r="X22" s="37">
        <f t="shared" si="9"/>
        <v>0</v>
      </c>
      <c r="Y22" s="37">
        <f t="shared" si="9"/>
        <v>0</v>
      </c>
      <c r="Z22" s="37">
        <f t="shared" si="9"/>
        <v>0</v>
      </c>
      <c r="AA22" s="37">
        <f t="shared" si="9"/>
        <v>0</v>
      </c>
      <c r="AB22" s="37">
        <f t="shared" si="9"/>
        <v>0</v>
      </c>
      <c r="AC22" s="37">
        <f>SUM(AC23:AC25)</f>
        <v>110409.59</v>
      </c>
      <c r="AD22" s="37">
        <f>SUM(AD23:AD25)</f>
        <v>123590.41</v>
      </c>
      <c r="AE22" s="337">
        <f aca="true" t="shared" si="10" ref="AE22:AE28">AC22*100/P22</f>
        <v>47.18358547008547</v>
      </c>
    </row>
    <row r="23" spans="2:31" s="28" customFormat="1" ht="51">
      <c r="B23" s="33"/>
      <c r="C23" s="35"/>
      <c r="D23" s="41">
        <v>2310</v>
      </c>
      <c r="E23" s="42" t="s">
        <v>1056</v>
      </c>
      <c r="F23" s="63"/>
      <c r="G23" s="37"/>
      <c r="H23" s="38"/>
      <c r="I23" s="44">
        <v>41400</v>
      </c>
      <c r="J23" s="38"/>
      <c r="K23" s="38"/>
      <c r="L23" s="38"/>
      <c r="M23" s="38"/>
      <c r="N23" s="38"/>
      <c r="O23" s="38"/>
      <c r="P23" s="45">
        <f>G23+H23+I23+J23+K23+L23+M23+N23+O23</f>
        <v>41400</v>
      </c>
      <c r="Q23" s="37"/>
      <c r="R23" s="37"/>
      <c r="S23" s="37"/>
      <c r="T23" s="43">
        <v>13926.15</v>
      </c>
      <c r="U23" s="43">
        <v>-4898.21</v>
      </c>
      <c r="V23" s="43">
        <v>14133.83</v>
      </c>
      <c r="W23" s="37"/>
      <c r="X23" s="37"/>
      <c r="Y23" s="37"/>
      <c r="Z23" s="37"/>
      <c r="AA23" s="37"/>
      <c r="AB23" s="37"/>
      <c r="AC23" s="46">
        <f>SUM(Q23:AB23)</f>
        <v>23161.769999999997</v>
      </c>
      <c r="AD23" s="43">
        <f>P23-AC23</f>
        <v>18238.230000000003</v>
      </c>
      <c r="AE23" s="338">
        <f t="shared" si="10"/>
        <v>55.94630434782608</v>
      </c>
    </row>
    <row r="24" spans="2:31" s="28" customFormat="1" ht="21" customHeight="1">
      <c r="B24" s="339"/>
      <c r="C24" s="41"/>
      <c r="D24" s="41">
        <v>2540</v>
      </c>
      <c r="E24" s="42" t="s">
        <v>681</v>
      </c>
      <c r="F24" s="65">
        <v>234000</v>
      </c>
      <c r="G24" s="43">
        <v>234000</v>
      </c>
      <c r="H24" s="44"/>
      <c r="I24" s="65">
        <v>-41400</v>
      </c>
      <c r="J24" s="44"/>
      <c r="K24" s="44"/>
      <c r="L24" s="44"/>
      <c r="M24" s="44"/>
      <c r="N24" s="44"/>
      <c r="O24" s="44"/>
      <c r="P24" s="45">
        <f>G24+H24+I24+J24+K24+L24+M24+N24+O24</f>
        <v>192600</v>
      </c>
      <c r="Q24" s="43">
        <v>13930.4</v>
      </c>
      <c r="R24" s="43">
        <v>13613.8</v>
      </c>
      <c r="S24" s="43">
        <v>24264.92</v>
      </c>
      <c r="T24" s="43">
        <v>4923.22</v>
      </c>
      <c r="U24" s="43">
        <v>24260.67</v>
      </c>
      <c r="V24" s="43">
        <v>6254.81</v>
      </c>
      <c r="W24" s="43"/>
      <c r="X24" s="43"/>
      <c r="Y24" s="43"/>
      <c r="Z24" s="43"/>
      <c r="AA24" s="43"/>
      <c r="AB24" s="43"/>
      <c r="AC24" s="46">
        <f>SUM(Q24:AB24)</f>
        <v>87247.81999999999</v>
      </c>
      <c r="AD24" s="43">
        <f>P24-AC24</f>
        <v>105352.18000000001</v>
      </c>
      <c r="AE24" s="338">
        <f t="shared" si="10"/>
        <v>45.300010384215994</v>
      </c>
    </row>
    <row r="25" spans="2:31" s="28" customFormat="1" ht="28.5" customHeight="1" hidden="1">
      <c r="B25" s="33"/>
      <c r="C25" s="41"/>
      <c r="D25" s="41">
        <v>6060</v>
      </c>
      <c r="E25" s="42" t="s">
        <v>573</v>
      </c>
      <c r="F25" s="65">
        <v>20000</v>
      </c>
      <c r="G25" s="43"/>
      <c r="H25" s="44"/>
      <c r="I25" s="44"/>
      <c r="J25" s="44"/>
      <c r="K25" s="44"/>
      <c r="L25" s="44"/>
      <c r="M25" s="44"/>
      <c r="N25" s="44"/>
      <c r="O25" s="44"/>
      <c r="P25" s="45">
        <f>G25+H25+I25+J25+K25+L25+M25+N25+O25</f>
        <v>0</v>
      </c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6">
        <f>SUM(Q25:AB25)</f>
        <v>0</v>
      </c>
      <c r="AD25" s="43">
        <f>P25-AC25</f>
        <v>0</v>
      </c>
      <c r="AE25" s="338" t="e">
        <f t="shared" si="10"/>
        <v>#DIV/0!</v>
      </c>
    </row>
    <row r="26" spans="2:31" s="28" customFormat="1" ht="12.75">
      <c r="B26" s="53">
        <v>851</v>
      </c>
      <c r="C26" s="71"/>
      <c r="D26" s="71"/>
      <c r="E26" s="55" t="s">
        <v>669</v>
      </c>
      <c r="F26" s="62" t="e">
        <f>F27+#REF!</f>
        <v>#REF!</v>
      </c>
      <c r="G26" s="51" t="e">
        <f>G27+#REF!</f>
        <v>#REF!</v>
      </c>
      <c r="H26" s="52" t="e">
        <f>H27+#REF!</f>
        <v>#REF!</v>
      </c>
      <c r="I26" s="52" t="e">
        <f>I27+#REF!</f>
        <v>#REF!</v>
      </c>
      <c r="J26" s="52" t="e">
        <f>J27+#REF!</f>
        <v>#REF!</v>
      </c>
      <c r="K26" s="52" t="e">
        <f>K27+#REF!+#REF!</f>
        <v>#REF!</v>
      </c>
      <c r="L26" s="52" t="e">
        <f>L27+#REF!+#REF!</f>
        <v>#REF!</v>
      </c>
      <c r="M26" s="52" t="e">
        <f>M27+#REF!+#REF!</f>
        <v>#REF!</v>
      </c>
      <c r="N26" s="52" t="e">
        <f>N27+#REF!+#REF!</f>
        <v>#REF!</v>
      </c>
      <c r="O26" s="52" t="e">
        <f>O27+#REF!+#REF!</f>
        <v>#REF!</v>
      </c>
      <c r="P26" s="51">
        <f>P27</f>
        <v>6000</v>
      </c>
      <c r="Q26" s="51" t="e">
        <f>Q27+#REF!</f>
        <v>#REF!</v>
      </c>
      <c r="R26" s="51" t="e">
        <f>R27+#REF!</f>
        <v>#REF!</v>
      </c>
      <c r="S26" s="51" t="e">
        <f>S27+#REF!</f>
        <v>#REF!</v>
      </c>
      <c r="T26" s="51" t="e">
        <f>T27+#REF!</f>
        <v>#REF!</v>
      </c>
      <c r="U26" s="51" t="e">
        <f>U27+#REF!</f>
        <v>#REF!</v>
      </c>
      <c r="V26" s="51" t="e">
        <f>V27+#REF!</f>
        <v>#REF!</v>
      </c>
      <c r="W26" s="51" t="e">
        <f>W27+#REF!</f>
        <v>#REF!</v>
      </c>
      <c r="X26" s="51" t="e">
        <f>X27+#REF!</f>
        <v>#REF!</v>
      </c>
      <c r="Y26" s="51" t="e">
        <f>Y27+#REF!</f>
        <v>#REF!</v>
      </c>
      <c r="Z26" s="51" t="e">
        <f>Z27+#REF!</f>
        <v>#REF!</v>
      </c>
      <c r="AA26" s="51" t="e">
        <f>AA27+#REF!</f>
        <v>#REF!</v>
      </c>
      <c r="AB26" s="51" t="e">
        <f>AB27+#REF!</f>
        <v>#REF!</v>
      </c>
      <c r="AC26" s="51">
        <f>AC27</f>
        <v>2000</v>
      </c>
      <c r="AD26" s="51" t="e">
        <f>#REF!+AD27</f>
        <v>#REF!</v>
      </c>
      <c r="AE26" s="336">
        <f t="shared" si="10"/>
        <v>33.333333333333336</v>
      </c>
    </row>
    <row r="27" spans="2:31" s="28" customFormat="1" ht="12.75">
      <c r="B27" s="33"/>
      <c r="C27" s="35">
        <v>85154</v>
      </c>
      <c r="D27" s="35"/>
      <c r="E27" s="36" t="s">
        <v>670</v>
      </c>
      <c r="F27" s="63">
        <f aca="true" t="shared" si="11" ref="F27:AD27">SUM(F28:F28)</f>
        <v>6000</v>
      </c>
      <c r="G27" s="37">
        <f t="shared" si="11"/>
        <v>6000</v>
      </c>
      <c r="H27" s="38">
        <f t="shared" si="11"/>
        <v>0</v>
      </c>
      <c r="I27" s="38">
        <f t="shared" si="11"/>
        <v>0</v>
      </c>
      <c r="J27" s="38">
        <f t="shared" si="11"/>
        <v>0</v>
      </c>
      <c r="K27" s="38">
        <f t="shared" si="11"/>
        <v>0</v>
      </c>
      <c r="L27" s="38">
        <f t="shared" si="11"/>
        <v>0</v>
      </c>
      <c r="M27" s="38">
        <f t="shared" si="11"/>
        <v>0</v>
      </c>
      <c r="N27" s="38">
        <f t="shared" si="11"/>
        <v>0</v>
      </c>
      <c r="O27" s="38">
        <f t="shared" si="11"/>
        <v>0</v>
      </c>
      <c r="P27" s="39">
        <f t="shared" si="11"/>
        <v>6000</v>
      </c>
      <c r="Q27" s="37">
        <f t="shared" si="11"/>
        <v>0</v>
      </c>
      <c r="R27" s="37">
        <f t="shared" si="11"/>
        <v>0</v>
      </c>
      <c r="S27" s="37">
        <f t="shared" si="11"/>
        <v>0</v>
      </c>
      <c r="T27" s="37">
        <f t="shared" si="11"/>
        <v>2000</v>
      </c>
      <c r="U27" s="37">
        <f t="shared" si="11"/>
        <v>0</v>
      </c>
      <c r="V27" s="37">
        <f t="shared" si="11"/>
        <v>0</v>
      </c>
      <c r="W27" s="37">
        <f t="shared" si="11"/>
        <v>0</v>
      </c>
      <c r="X27" s="37">
        <f t="shared" si="11"/>
        <v>0</v>
      </c>
      <c r="Y27" s="37">
        <f t="shared" si="11"/>
        <v>0</v>
      </c>
      <c r="Z27" s="37">
        <f t="shared" si="11"/>
        <v>0</v>
      </c>
      <c r="AA27" s="37">
        <f t="shared" si="11"/>
        <v>0</v>
      </c>
      <c r="AB27" s="37">
        <f t="shared" si="11"/>
        <v>0</v>
      </c>
      <c r="AC27" s="37">
        <f t="shared" si="11"/>
        <v>2000</v>
      </c>
      <c r="AD27" s="37">
        <f t="shared" si="11"/>
        <v>4000</v>
      </c>
      <c r="AE27" s="337">
        <f t="shared" si="10"/>
        <v>33.333333333333336</v>
      </c>
    </row>
    <row r="28" spans="2:31" s="28" customFormat="1" ht="38.25">
      <c r="B28" s="33"/>
      <c r="C28" s="35"/>
      <c r="D28" s="41">
        <v>2820</v>
      </c>
      <c r="E28" s="42" t="s">
        <v>671</v>
      </c>
      <c r="F28" s="65">
        <v>6000</v>
      </c>
      <c r="G28" s="43">
        <v>6000</v>
      </c>
      <c r="H28" s="44"/>
      <c r="I28" s="44"/>
      <c r="J28" s="44"/>
      <c r="K28" s="44"/>
      <c r="L28" s="44"/>
      <c r="M28" s="44"/>
      <c r="N28" s="44"/>
      <c r="O28" s="44"/>
      <c r="P28" s="45">
        <f>G28+H28+I28+J28+K28+L28+M28+N28+O28</f>
        <v>6000</v>
      </c>
      <c r="Q28" s="43"/>
      <c r="R28" s="43"/>
      <c r="S28" s="43"/>
      <c r="T28" s="43">
        <v>2000</v>
      </c>
      <c r="U28" s="43"/>
      <c r="V28" s="43"/>
      <c r="W28" s="43"/>
      <c r="X28" s="43"/>
      <c r="Y28" s="43"/>
      <c r="Z28" s="43"/>
      <c r="AA28" s="43"/>
      <c r="AB28" s="43"/>
      <c r="AC28" s="46">
        <f>SUM(Q28:AB28)</f>
        <v>2000</v>
      </c>
      <c r="AD28" s="43">
        <f>P28-AC28</f>
        <v>4000</v>
      </c>
      <c r="AE28" s="338">
        <f t="shared" si="10"/>
        <v>33.333333333333336</v>
      </c>
    </row>
    <row r="29" spans="2:31" s="28" customFormat="1" ht="28.5" customHeight="1">
      <c r="B29" s="53">
        <v>921</v>
      </c>
      <c r="C29" s="54"/>
      <c r="D29" s="54"/>
      <c r="E29" s="55" t="s">
        <v>983</v>
      </c>
      <c r="F29" s="62">
        <f>F30+F32</f>
        <v>628200</v>
      </c>
      <c r="G29" s="51">
        <f>G30+G32</f>
        <v>483200</v>
      </c>
      <c r="H29" s="52">
        <f>H30+H32</f>
        <v>0</v>
      </c>
      <c r="I29" s="52">
        <f aca="true" t="shared" si="12" ref="I29:O29">I30+I32</f>
        <v>0</v>
      </c>
      <c r="J29" s="52">
        <f t="shared" si="12"/>
        <v>35000</v>
      </c>
      <c r="K29" s="52">
        <f t="shared" si="12"/>
        <v>0</v>
      </c>
      <c r="L29" s="52">
        <f t="shared" si="12"/>
        <v>0</v>
      </c>
      <c r="M29" s="52">
        <f t="shared" si="12"/>
        <v>0</v>
      </c>
      <c r="N29" s="52">
        <f t="shared" si="12"/>
        <v>0</v>
      </c>
      <c r="O29" s="52">
        <f t="shared" si="12"/>
        <v>0</v>
      </c>
      <c r="P29" s="51">
        <f>P30+P32</f>
        <v>518200</v>
      </c>
      <c r="Q29" s="51">
        <f>Q30+Q32</f>
        <v>49500</v>
      </c>
      <c r="R29" s="51">
        <f aca="true" t="shared" si="13" ref="R29:AB29">R30+R32</f>
        <v>62000</v>
      </c>
      <c r="S29" s="51">
        <f t="shared" si="13"/>
        <v>42000</v>
      </c>
      <c r="T29" s="51">
        <f t="shared" si="13"/>
        <v>45700</v>
      </c>
      <c r="U29" s="51">
        <f t="shared" si="13"/>
        <v>46000</v>
      </c>
      <c r="V29" s="51">
        <f t="shared" si="13"/>
        <v>31000</v>
      </c>
      <c r="W29" s="51">
        <f t="shared" si="13"/>
        <v>0</v>
      </c>
      <c r="X29" s="51">
        <f t="shared" si="13"/>
        <v>0</v>
      </c>
      <c r="Y29" s="51">
        <f t="shared" si="13"/>
        <v>0</v>
      </c>
      <c r="Z29" s="51">
        <f t="shared" si="13"/>
        <v>0</v>
      </c>
      <c r="AA29" s="51">
        <f t="shared" si="13"/>
        <v>0</v>
      </c>
      <c r="AB29" s="51">
        <f t="shared" si="13"/>
        <v>0</v>
      </c>
      <c r="AC29" s="51">
        <f>AC30+AC32</f>
        <v>276200</v>
      </c>
      <c r="AD29" s="51">
        <f>AD30+AD32</f>
        <v>242000</v>
      </c>
      <c r="AE29" s="336">
        <f aca="true" t="shared" si="14" ref="AE29:AE36">AC29*100/P29</f>
        <v>53.299884214588964</v>
      </c>
    </row>
    <row r="30" spans="2:31" s="28" customFormat="1" ht="12.75">
      <c r="B30" s="33"/>
      <c r="C30" s="35">
        <v>92109</v>
      </c>
      <c r="D30" s="35"/>
      <c r="E30" s="36" t="s">
        <v>754</v>
      </c>
      <c r="F30" s="63">
        <f aca="true" t="shared" si="15" ref="F30:AD30">SUM(F31:F31)</f>
        <v>253200</v>
      </c>
      <c r="G30" s="37">
        <f t="shared" si="15"/>
        <v>193200</v>
      </c>
      <c r="H30" s="38">
        <f t="shared" si="15"/>
        <v>0</v>
      </c>
      <c r="I30" s="38">
        <f t="shared" si="15"/>
        <v>0</v>
      </c>
      <c r="J30" s="38">
        <f t="shared" si="15"/>
        <v>35000</v>
      </c>
      <c r="K30" s="38">
        <f t="shared" si="15"/>
        <v>0</v>
      </c>
      <c r="L30" s="38">
        <f t="shared" si="15"/>
        <v>0</v>
      </c>
      <c r="M30" s="38">
        <f t="shared" si="15"/>
        <v>0</v>
      </c>
      <c r="N30" s="38">
        <f t="shared" si="15"/>
        <v>0</v>
      </c>
      <c r="O30" s="38">
        <f t="shared" si="15"/>
        <v>0</v>
      </c>
      <c r="P30" s="39">
        <f>SUM(P31:P31)</f>
        <v>228200</v>
      </c>
      <c r="Q30" s="37">
        <f t="shared" si="15"/>
        <v>25500</v>
      </c>
      <c r="R30" s="37">
        <f t="shared" si="15"/>
        <v>29000</v>
      </c>
      <c r="S30" s="37">
        <f t="shared" si="15"/>
        <v>19000</v>
      </c>
      <c r="T30" s="37">
        <f t="shared" si="15"/>
        <v>22700</v>
      </c>
      <c r="U30" s="37">
        <f t="shared" si="15"/>
        <v>17000</v>
      </c>
      <c r="V30" s="37">
        <f t="shared" si="15"/>
        <v>15000</v>
      </c>
      <c r="W30" s="37">
        <f t="shared" si="15"/>
        <v>0</v>
      </c>
      <c r="X30" s="37">
        <f t="shared" si="15"/>
        <v>0</v>
      </c>
      <c r="Y30" s="37">
        <f t="shared" si="15"/>
        <v>0</v>
      </c>
      <c r="Z30" s="37">
        <f t="shared" si="15"/>
        <v>0</v>
      </c>
      <c r="AA30" s="37">
        <f t="shared" si="15"/>
        <v>0</v>
      </c>
      <c r="AB30" s="37">
        <f t="shared" si="15"/>
        <v>0</v>
      </c>
      <c r="AC30" s="37">
        <f t="shared" si="15"/>
        <v>128200</v>
      </c>
      <c r="AD30" s="37">
        <f t="shared" si="15"/>
        <v>100000</v>
      </c>
      <c r="AE30" s="337">
        <f t="shared" si="14"/>
        <v>56.178790534618756</v>
      </c>
    </row>
    <row r="31" spans="2:31" s="28" customFormat="1" ht="28.5" customHeight="1">
      <c r="B31" s="33"/>
      <c r="C31" s="41"/>
      <c r="D31" s="41">
        <v>2480</v>
      </c>
      <c r="E31" s="42" t="s">
        <v>755</v>
      </c>
      <c r="F31" s="65">
        <v>253200</v>
      </c>
      <c r="G31" s="43">
        <f>253200-60000</f>
        <v>193200</v>
      </c>
      <c r="H31" s="44"/>
      <c r="I31" s="44"/>
      <c r="J31" s="44">
        <v>35000</v>
      </c>
      <c r="K31" s="44"/>
      <c r="L31" s="44"/>
      <c r="M31" s="44"/>
      <c r="N31" s="44"/>
      <c r="O31" s="44"/>
      <c r="P31" s="45">
        <f>G31+H31+I31+J31+K31+L31+M31+N31+O31</f>
        <v>228200</v>
      </c>
      <c r="Q31" s="43">
        <v>25500</v>
      </c>
      <c r="R31" s="43">
        <v>29000</v>
      </c>
      <c r="S31" s="43">
        <v>19000</v>
      </c>
      <c r="T31" s="43">
        <v>22700</v>
      </c>
      <c r="U31" s="43">
        <v>17000</v>
      </c>
      <c r="V31" s="43">
        <v>15000</v>
      </c>
      <c r="W31" s="43"/>
      <c r="X31" s="43"/>
      <c r="Y31" s="43"/>
      <c r="Z31" s="43"/>
      <c r="AA31" s="43"/>
      <c r="AB31" s="43"/>
      <c r="AC31" s="46">
        <f>SUM(Q31:AB31)</f>
        <v>128200</v>
      </c>
      <c r="AD31" s="43">
        <f>P31-AC31</f>
        <v>100000</v>
      </c>
      <c r="AE31" s="338">
        <f t="shared" si="14"/>
        <v>56.178790534618756</v>
      </c>
    </row>
    <row r="32" spans="2:31" s="28" customFormat="1" ht="12.75">
      <c r="B32" s="33"/>
      <c r="C32" s="35">
        <v>92116</v>
      </c>
      <c r="D32" s="35"/>
      <c r="E32" s="36" t="s">
        <v>984</v>
      </c>
      <c r="F32" s="63">
        <f aca="true" t="shared" si="16" ref="F32:AD32">SUM(F33:F33)</f>
        <v>375000</v>
      </c>
      <c r="G32" s="37">
        <f t="shared" si="16"/>
        <v>290000</v>
      </c>
      <c r="H32" s="38">
        <f t="shared" si="16"/>
        <v>0</v>
      </c>
      <c r="I32" s="38">
        <f t="shared" si="16"/>
        <v>0</v>
      </c>
      <c r="J32" s="38">
        <f t="shared" si="16"/>
        <v>0</v>
      </c>
      <c r="K32" s="38">
        <f t="shared" si="16"/>
        <v>0</v>
      </c>
      <c r="L32" s="38">
        <f t="shared" si="16"/>
        <v>0</v>
      </c>
      <c r="M32" s="38">
        <f t="shared" si="16"/>
        <v>0</v>
      </c>
      <c r="N32" s="38">
        <f t="shared" si="16"/>
        <v>0</v>
      </c>
      <c r="O32" s="38">
        <f t="shared" si="16"/>
        <v>0</v>
      </c>
      <c r="P32" s="39">
        <f>SUM(P33:P33)</f>
        <v>290000</v>
      </c>
      <c r="Q32" s="37">
        <f t="shared" si="16"/>
        <v>24000</v>
      </c>
      <c r="R32" s="37">
        <f t="shared" si="16"/>
        <v>33000</v>
      </c>
      <c r="S32" s="37">
        <f t="shared" si="16"/>
        <v>23000</v>
      </c>
      <c r="T32" s="37">
        <f t="shared" si="16"/>
        <v>23000</v>
      </c>
      <c r="U32" s="37">
        <f t="shared" si="16"/>
        <v>29000</v>
      </c>
      <c r="V32" s="37">
        <f t="shared" si="16"/>
        <v>16000</v>
      </c>
      <c r="W32" s="37">
        <f t="shared" si="16"/>
        <v>0</v>
      </c>
      <c r="X32" s="37">
        <f t="shared" si="16"/>
        <v>0</v>
      </c>
      <c r="Y32" s="37">
        <f t="shared" si="16"/>
        <v>0</v>
      </c>
      <c r="Z32" s="37">
        <f t="shared" si="16"/>
        <v>0</v>
      </c>
      <c r="AA32" s="37">
        <f t="shared" si="16"/>
        <v>0</v>
      </c>
      <c r="AB32" s="37">
        <f t="shared" si="16"/>
        <v>0</v>
      </c>
      <c r="AC32" s="37">
        <f t="shared" si="16"/>
        <v>148000</v>
      </c>
      <c r="AD32" s="37">
        <f t="shared" si="16"/>
        <v>142000</v>
      </c>
      <c r="AE32" s="337">
        <f t="shared" si="14"/>
        <v>51.03448275862069</v>
      </c>
    </row>
    <row r="33" spans="2:31" s="28" customFormat="1" ht="28.5" customHeight="1">
      <c r="B33" s="33"/>
      <c r="C33" s="41"/>
      <c r="D33" s="41">
        <v>2480</v>
      </c>
      <c r="E33" s="42" t="s">
        <v>755</v>
      </c>
      <c r="F33" s="65">
        <v>375000</v>
      </c>
      <c r="G33" s="43">
        <f>375000-85000</f>
        <v>290000</v>
      </c>
      <c r="H33" s="44"/>
      <c r="I33" s="44"/>
      <c r="J33" s="44"/>
      <c r="K33" s="44"/>
      <c r="L33" s="44"/>
      <c r="M33" s="44"/>
      <c r="N33" s="44"/>
      <c r="O33" s="44"/>
      <c r="P33" s="45">
        <f>G33+H33+I33+J33+K33+L33+M33+N33+O33</f>
        <v>290000</v>
      </c>
      <c r="Q33" s="43">
        <v>24000</v>
      </c>
      <c r="R33" s="43">
        <v>33000</v>
      </c>
      <c r="S33" s="43">
        <v>23000</v>
      </c>
      <c r="T33" s="43">
        <v>23000</v>
      </c>
      <c r="U33" s="43">
        <v>29000</v>
      </c>
      <c r="V33" s="43">
        <v>16000</v>
      </c>
      <c r="W33" s="43"/>
      <c r="X33" s="43"/>
      <c r="Y33" s="43"/>
      <c r="Z33" s="43"/>
      <c r="AA33" s="43"/>
      <c r="AB33" s="43"/>
      <c r="AC33" s="46">
        <f>SUM(Q33:AB33)</f>
        <v>148000</v>
      </c>
      <c r="AD33" s="43">
        <f>P33-AC33</f>
        <v>142000</v>
      </c>
      <c r="AE33" s="338">
        <f t="shared" si="14"/>
        <v>51.03448275862069</v>
      </c>
    </row>
    <row r="34" spans="2:31" s="28" customFormat="1" ht="28.5" customHeight="1">
      <c r="B34" s="53">
        <v>926</v>
      </c>
      <c r="C34" s="54"/>
      <c r="D34" s="54"/>
      <c r="E34" s="55" t="s">
        <v>756</v>
      </c>
      <c r="F34" s="62" t="e">
        <f>F35+#REF!</f>
        <v>#REF!</v>
      </c>
      <c r="G34" s="51" t="e">
        <f>G35+#REF!</f>
        <v>#REF!</v>
      </c>
      <c r="H34" s="52" t="e">
        <f>H35+#REF!</f>
        <v>#REF!</v>
      </c>
      <c r="I34" s="52" t="e">
        <f>I35+#REF!</f>
        <v>#REF!</v>
      </c>
      <c r="J34" s="52" t="e">
        <f>J35+#REF!</f>
        <v>#REF!</v>
      </c>
      <c r="K34" s="52" t="e">
        <f>K35+#REF!</f>
        <v>#REF!</v>
      </c>
      <c r="L34" s="52" t="e">
        <f>L35+#REF!</f>
        <v>#REF!</v>
      </c>
      <c r="M34" s="52" t="e">
        <f>M35+#REF!</f>
        <v>#REF!</v>
      </c>
      <c r="N34" s="52" t="e">
        <f>N35+#REF!</f>
        <v>#REF!</v>
      </c>
      <c r="O34" s="52" t="e">
        <f>O35+#REF!</f>
        <v>#REF!</v>
      </c>
      <c r="P34" s="51">
        <f>P35</f>
        <v>33000</v>
      </c>
      <c r="Q34" s="51" t="e">
        <f>Q35+#REF!</f>
        <v>#REF!</v>
      </c>
      <c r="R34" s="51" t="e">
        <f>R35+#REF!</f>
        <v>#REF!</v>
      </c>
      <c r="S34" s="51" t="e">
        <f>S35+#REF!</f>
        <v>#REF!</v>
      </c>
      <c r="T34" s="51" t="e">
        <f>T35+#REF!</f>
        <v>#REF!</v>
      </c>
      <c r="U34" s="51" t="e">
        <f>U35+#REF!</f>
        <v>#REF!</v>
      </c>
      <c r="V34" s="51" t="e">
        <f>V35+#REF!</f>
        <v>#REF!</v>
      </c>
      <c r="W34" s="51" t="e">
        <f>W35+#REF!</f>
        <v>#REF!</v>
      </c>
      <c r="X34" s="51" t="e">
        <f>X35+#REF!</f>
        <v>#REF!</v>
      </c>
      <c r="Y34" s="51" t="e">
        <f>Y35+#REF!</f>
        <v>#REF!</v>
      </c>
      <c r="Z34" s="51" t="e">
        <f>Z35+#REF!</f>
        <v>#REF!</v>
      </c>
      <c r="AA34" s="51" t="e">
        <f>AA35+#REF!</f>
        <v>#REF!</v>
      </c>
      <c r="AB34" s="51" t="e">
        <f>AB35+#REF!</f>
        <v>#REF!</v>
      </c>
      <c r="AC34" s="51">
        <f>AC35</f>
        <v>16500</v>
      </c>
      <c r="AD34" s="51" t="e">
        <f>AD35+#REF!</f>
        <v>#REF!</v>
      </c>
      <c r="AE34" s="336">
        <f t="shared" si="14"/>
        <v>50</v>
      </c>
    </row>
    <row r="35" spans="2:31" s="28" customFormat="1" ht="28.5" customHeight="1">
      <c r="B35" s="33"/>
      <c r="C35" s="35">
        <v>92605</v>
      </c>
      <c r="D35" s="35"/>
      <c r="E35" s="36" t="s">
        <v>757</v>
      </c>
      <c r="F35" s="63">
        <f>SUM(F36:F36)</f>
        <v>35700</v>
      </c>
      <c r="G35" s="37">
        <f>SUM(G36:G36)</f>
        <v>35700</v>
      </c>
      <c r="H35" s="63">
        <f>SUM(H36:H36)</f>
        <v>-2700</v>
      </c>
      <c r="I35" s="38">
        <f aca="true" t="shared" si="17" ref="I35:O35">SUM(I36:I36)</f>
        <v>0</v>
      </c>
      <c r="J35" s="38">
        <f>SUM(J36:J36)</f>
        <v>0</v>
      </c>
      <c r="K35" s="38">
        <f t="shared" si="17"/>
        <v>0</v>
      </c>
      <c r="L35" s="38">
        <f t="shared" si="17"/>
        <v>0</v>
      </c>
      <c r="M35" s="38">
        <f t="shared" si="17"/>
        <v>0</v>
      </c>
      <c r="N35" s="38">
        <f t="shared" si="17"/>
        <v>0</v>
      </c>
      <c r="O35" s="38">
        <f t="shared" si="17"/>
        <v>0</v>
      </c>
      <c r="P35" s="39">
        <f>SUM(P36:P36)</f>
        <v>33000</v>
      </c>
      <c r="Q35" s="37">
        <f>SUM(Q36:Q36)</f>
        <v>0</v>
      </c>
      <c r="R35" s="37">
        <f aca="true" t="shared" si="18" ref="R35:AB35">SUM(R36:R36)</f>
        <v>0</v>
      </c>
      <c r="S35" s="37">
        <f t="shared" si="18"/>
        <v>16500</v>
      </c>
      <c r="T35" s="37">
        <f t="shared" si="18"/>
        <v>0</v>
      </c>
      <c r="U35" s="37">
        <f t="shared" si="18"/>
        <v>0</v>
      </c>
      <c r="V35" s="37">
        <f t="shared" si="18"/>
        <v>0</v>
      </c>
      <c r="W35" s="37">
        <f t="shared" si="18"/>
        <v>0</v>
      </c>
      <c r="X35" s="37">
        <f t="shared" si="18"/>
        <v>0</v>
      </c>
      <c r="Y35" s="37">
        <f t="shared" si="18"/>
        <v>0</v>
      </c>
      <c r="Z35" s="37">
        <f t="shared" si="18"/>
        <v>0</v>
      </c>
      <c r="AA35" s="37">
        <f t="shared" si="18"/>
        <v>0</v>
      </c>
      <c r="AB35" s="37">
        <f t="shared" si="18"/>
        <v>0</v>
      </c>
      <c r="AC35" s="37">
        <f>SUM(AC36:AC36)</f>
        <v>16500</v>
      </c>
      <c r="AD35" s="37">
        <f>SUM(AD36:AD36)</f>
        <v>16500</v>
      </c>
      <c r="AE35" s="337">
        <f t="shared" si="14"/>
        <v>50</v>
      </c>
    </row>
    <row r="36" spans="2:31" s="28" customFormat="1" ht="38.25">
      <c r="B36" s="33"/>
      <c r="C36" s="35"/>
      <c r="D36" s="41">
        <v>2820</v>
      </c>
      <c r="E36" s="42" t="s">
        <v>671</v>
      </c>
      <c r="F36" s="271">
        <v>35700</v>
      </c>
      <c r="G36" s="46">
        <v>35700</v>
      </c>
      <c r="H36" s="271">
        <v>-2700</v>
      </c>
      <c r="I36" s="48"/>
      <c r="J36" s="48"/>
      <c r="K36" s="48"/>
      <c r="L36" s="48"/>
      <c r="M36" s="48"/>
      <c r="N36" s="48"/>
      <c r="O36" s="48"/>
      <c r="P36" s="45">
        <f>G36+H36+I36+J36+K36+L36+M36+N36+O36</f>
        <v>33000</v>
      </c>
      <c r="Q36" s="46"/>
      <c r="R36" s="46"/>
      <c r="S36" s="46">
        <v>16500</v>
      </c>
      <c r="T36" s="46"/>
      <c r="U36" s="46"/>
      <c r="V36" s="46"/>
      <c r="W36" s="46"/>
      <c r="X36" s="46"/>
      <c r="Y36" s="46"/>
      <c r="Z36" s="46"/>
      <c r="AA36" s="46"/>
      <c r="AB36" s="46"/>
      <c r="AC36" s="46">
        <f>SUM(Q36:AB36)</f>
        <v>16500</v>
      </c>
      <c r="AD36" s="43">
        <f>P36-AC36</f>
        <v>16500</v>
      </c>
      <c r="AE36" s="338">
        <f t="shared" si="14"/>
        <v>50</v>
      </c>
    </row>
    <row r="37" spans="2:31" s="28" customFormat="1" ht="13.5" thickBot="1">
      <c r="B37" s="345"/>
      <c r="C37" s="346"/>
      <c r="D37" s="346"/>
      <c r="E37" s="347" t="s">
        <v>989</v>
      </c>
      <c r="F37" s="349" t="e">
        <f>F5+F8+F11+#REF!+#REF!+#REF!+#REF!+F20+F26+#REF!+#REF!+F29+F34+#REF!+#REF!+#REF!+#REF!+#REF!</f>
        <v>#REF!</v>
      </c>
      <c r="G37" s="591" t="e">
        <f>G5+G8+G11+#REF!+#REF!+#REF!+#REF!+G20+G26+#REF!+#REF!+G29+G34+#REF!+#REF!+#REF!+#REF!+#REF!</f>
        <v>#REF!</v>
      </c>
      <c r="H37" s="592" t="e">
        <f>H5+H8+H11+#REF!+#REF!+#REF!+#REF!+H20+H26+#REF!+#REF!+H29+H34+#REF!+#REF!+#REF!+#REF!+#REF!</f>
        <v>#REF!</v>
      </c>
      <c r="I37" s="592" t="e">
        <f>I5+I8+I11+#REF!+#REF!+#REF!+#REF!+I20+I26+#REF!+#REF!+I29+I34+#REF!+#REF!+#REF!+#REF!+#REF!</f>
        <v>#REF!</v>
      </c>
      <c r="J37" s="592" t="e">
        <f>J5+J8+J11+#REF!+#REF!+#REF!+#REF!+J20+J26+#REF!+#REF!+J29+J34+#REF!+#REF!+#REF!+#REF!+#REF!</f>
        <v>#REF!</v>
      </c>
      <c r="K37" s="350" t="e">
        <f>K5+K8+K11+#REF!+#REF!+#REF!+#REF!+K20+K26+#REF!+#REF!+K29+K34+#REF!+#REF!+#REF!+#REF!+#REF!</f>
        <v>#REF!</v>
      </c>
      <c r="L37" s="350" t="e">
        <f>L5+L8+L11+#REF!+#REF!+#REF!+#REF!+L20+L26+#REF!+#REF!+L29+L34+#REF!+#REF!+#REF!+#REF!+#REF!</f>
        <v>#REF!</v>
      </c>
      <c r="M37" s="349" t="e">
        <f>M5+M8+M11+#REF!+#REF!+#REF!+#REF!+M20+M26+#REF!+#REF!+M29+M34+#REF!+#REF!+#REF!+#REF!+#REF!</f>
        <v>#REF!</v>
      </c>
      <c r="N37" s="350" t="e">
        <f>N5+N8+N11+#REF!+#REF!+#REF!+#REF!+N20+N26+#REF!+#REF!+N29+N34+#REF!+#REF!+#REF!+#REF!+#REF!</f>
        <v>#REF!</v>
      </c>
      <c r="O37" s="349" t="e">
        <f>O5+O8+O11+#REF!+#REF!+#REF!+#REF!+O20+O26+#REF!+#REF!+O29+O34+#REF!+#REF!+#REF!+#REF!+#REF!</f>
        <v>#REF!</v>
      </c>
      <c r="P37" s="348">
        <f>P34+P29+P26+P20+P11+P8+P5</f>
        <v>1326420</v>
      </c>
      <c r="Q37" s="348" t="e">
        <f>Q5+Q8+Q11+#REF!+#REF!+#REF!+#REF!+Q20+Q26+#REF!+#REF!+Q29+Q34+#REF!+#REF!+#REF!+#REF!+#REF!</f>
        <v>#REF!</v>
      </c>
      <c r="R37" s="348" t="e">
        <f>R5+R8+R11+#REF!+#REF!+#REF!+#REF!+R20+R26+#REF!+#REF!+R29+R34+#REF!+#REF!+#REF!+#REF!+#REF!</f>
        <v>#REF!</v>
      </c>
      <c r="S37" s="348" t="e">
        <f>S5+S8+S11+#REF!+#REF!+#REF!+#REF!+S20+S26+#REF!+#REF!+S29+S34+#REF!+#REF!+#REF!+#REF!+#REF!</f>
        <v>#REF!</v>
      </c>
      <c r="T37" s="348" t="e">
        <f>T5+T8+T11+#REF!+#REF!+#REF!+#REF!+T20+T26+#REF!+#REF!+T29+T34+#REF!+#REF!+#REF!+#REF!+#REF!</f>
        <v>#REF!</v>
      </c>
      <c r="U37" s="348" t="e">
        <f>U5+U8+U11+#REF!+#REF!+#REF!+#REF!+U20+U26+#REF!+#REF!+U29+U34+#REF!+#REF!+#REF!+#REF!+#REF!</f>
        <v>#REF!</v>
      </c>
      <c r="V37" s="140" t="e">
        <f>V5+V8+V11+#REF!+#REF!+#REF!+#REF!+V20+V26+#REF!+#REF!+V29+V34+#REF!+#REF!+#REF!+#REF!+#REF!</f>
        <v>#REF!</v>
      </c>
      <c r="W37" s="348" t="e">
        <f>W5+W8+W11+#REF!+#REF!+#REF!+#REF!+W20+W26+#REF!+#REF!+W29+W34+#REF!+#REF!+#REF!+#REF!+#REF!</f>
        <v>#REF!</v>
      </c>
      <c r="X37" s="348" t="e">
        <f>X5+X8+X11+#REF!+#REF!+#REF!+#REF!+X20+X26+#REF!+#REF!+X29+X34+#REF!+#REF!+#REF!+#REF!+#REF!</f>
        <v>#REF!</v>
      </c>
      <c r="Y37" s="348" t="e">
        <f>Y5+Y8+Y11+#REF!+#REF!+#REF!+#REF!+Y20+Y26+#REF!+#REF!+Y29+Y34+#REF!+#REF!+#REF!+#REF!+#REF!</f>
        <v>#REF!</v>
      </c>
      <c r="Z37" s="348" t="e">
        <f>Z5+Z8+Z11+#REF!+#REF!+#REF!+#REF!+Z20+Z26+#REF!+#REF!+Z29+Z34+#REF!+#REF!+#REF!+#REF!+#REF!</f>
        <v>#REF!</v>
      </c>
      <c r="AA37" s="348" t="e">
        <f>AA5+AA8+AA11+#REF!+#REF!+#REF!+#REF!+AA20+AA26+#REF!+#REF!+AA29+AA34+#REF!+#REF!+#REF!+#REF!+#REF!</f>
        <v>#REF!</v>
      </c>
      <c r="AB37" s="348" t="e">
        <f>AB5+AB8+AB11+#REF!+#REF!+#REF!+#REF!+AB20+AB26+#REF!+#REF!+AB29+AB34+#REF!+#REF!+#REF!+#REF!+#REF!</f>
        <v>#REF!</v>
      </c>
      <c r="AC37" s="348">
        <f>AC34+AC29+AC26+AC20+AC11+AC8+AC5</f>
        <v>702421.2799999999</v>
      </c>
      <c r="AD37" s="348" t="e">
        <f>AD5+AD8+AD11+#REF!+#REF!+#REF!+#REF!+AD20+AD26+#REF!+#REF!+AD29+AD34+#REF!+#REF!+#REF!+#REF!+#REF!</f>
        <v>#REF!</v>
      </c>
      <c r="AE37" s="351">
        <f>AC37*100/P37</f>
        <v>52.95617376095052</v>
      </c>
    </row>
    <row r="38" spans="6:31" s="28" customFormat="1" ht="15">
      <c r="F38" s="593"/>
      <c r="G38" s="47"/>
      <c r="H38" s="76"/>
      <c r="I38" s="47">
        <f>'[2]Dochody zał.Nr 1'!H126-'[2]Wydatki zał.Nr 2'!J354</f>
        <v>0</v>
      </c>
      <c r="J38" s="47">
        <f>'[2]Dochody zał.Nr 1'!I126-'[2]Wydatki zał.Nr 2'!K354</f>
        <v>40000</v>
      </c>
      <c r="K38" s="47"/>
      <c r="L38" s="47"/>
      <c r="M38" s="47"/>
      <c r="N38" s="76"/>
      <c r="O38" s="76"/>
      <c r="P38" s="77"/>
      <c r="Q38" s="47"/>
      <c r="R38" s="47">
        <f>-'[1]Szamotuły'!R134</f>
        <v>0</v>
      </c>
      <c r="S38" s="47"/>
      <c r="T38" s="47"/>
      <c r="U38" s="47"/>
      <c r="V38" s="47"/>
      <c r="W38" s="47">
        <f>-'[1]Szamotuły'!V134</f>
        <v>0</v>
      </c>
      <c r="X38" s="47">
        <f>-'[1]Szamotuły'!W134</f>
        <v>0</v>
      </c>
      <c r="Y38" s="47">
        <f>-'[1]Szamotuły'!X134</f>
        <v>0</v>
      </c>
      <c r="Z38" s="47">
        <f>-'[1]Szamotuły'!Y134</f>
        <v>0</v>
      </c>
      <c r="AA38" s="47">
        <f>-'[1]Szamotuły'!Z134</f>
        <v>0</v>
      </c>
      <c r="AB38" s="47">
        <f>-'[1]Szamotuły'!AA134</f>
        <v>0</v>
      </c>
      <c r="AC38" s="352"/>
      <c r="AD38" s="353"/>
      <c r="AE38" s="354"/>
    </row>
    <row r="39" ht="12.75">
      <c r="P39" s="24"/>
    </row>
    <row r="40" ht="28.5" customHeight="1">
      <c r="P40" s="24"/>
    </row>
    <row r="41" ht="28.5" customHeight="1">
      <c r="P41" s="24"/>
    </row>
    <row r="42" ht="28.5" customHeight="1">
      <c r="P42" s="24"/>
    </row>
    <row r="43" ht="28.5" customHeight="1">
      <c r="P43" s="24"/>
    </row>
    <row r="44" ht="28.5" customHeight="1">
      <c r="P44" s="24"/>
    </row>
    <row r="45" ht="28.5" customHeight="1">
      <c r="P45" s="24"/>
    </row>
    <row r="46" ht="28.5" customHeight="1">
      <c r="P46" s="24"/>
    </row>
    <row r="47" ht="28.5" customHeight="1">
      <c r="P47" s="24"/>
    </row>
    <row r="48" ht="28.5" customHeight="1">
      <c r="P48" s="24"/>
    </row>
    <row r="49" ht="28.5" customHeight="1">
      <c r="P49" s="24"/>
    </row>
    <row r="50" ht="28.5" customHeight="1">
      <c r="P50" s="24"/>
    </row>
    <row r="51" ht="28.5" customHeight="1">
      <c r="P51" s="24"/>
    </row>
    <row r="52" ht="28.5" customHeight="1">
      <c r="P52" s="24"/>
    </row>
    <row r="53" ht="28.5" customHeight="1">
      <c r="P53" s="24"/>
    </row>
    <row r="54" ht="28.5" customHeight="1">
      <c r="P54" s="24"/>
    </row>
    <row r="55" ht="28.5" customHeight="1">
      <c r="P55" s="24"/>
    </row>
    <row r="56" ht="28.5" customHeight="1">
      <c r="P56" s="24"/>
    </row>
    <row r="57" ht="28.5" customHeight="1">
      <c r="P57" s="24"/>
    </row>
    <row r="58" ht="28.5" customHeight="1">
      <c r="P58" s="24"/>
    </row>
    <row r="59" ht="28.5" customHeight="1">
      <c r="P59" s="24"/>
    </row>
    <row r="60" ht="28.5" customHeight="1">
      <c r="P60" s="24"/>
    </row>
    <row r="61" ht="28.5" customHeight="1">
      <c r="P61" s="24"/>
    </row>
    <row r="62" ht="28.5" customHeight="1">
      <c r="P62" s="24"/>
    </row>
    <row r="63" ht="28.5" customHeight="1">
      <c r="P63" s="24"/>
    </row>
    <row r="64" ht="28.5" customHeight="1">
      <c r="P64" s="24"/>
    </row>
    <row r="65" ht="28.5" customHeight="1">
      <c r="P65" s="24"/>
    </row>
    <row r="66" ht="28.5" customHeight="1">
      <c r="P66" s="24"/>
    </row>
    <row r="67" ht="28.5" customHeight="1">
      <c r="P67" s="24"/>
    </row>
    <row r="68" ht="28.5" customHeight="1">
      <c r="P68" s="24"/>
    </row>
    <row r="69" ht="28.5" customHeight="1">
      <c r="P69" s="24"/>
    </row>
    <row r="70" ht="28.5" customHeight="1">
      <c r="P70" s="24"/>
    </row>
    <row r="71" ht="28.5" customHeight="1">
      <c r="P71" s="24"/>
    </row>
  </sheetData>
  <mergeCells count="1">
    <mergeCell ref="AC1:AE1"/>
  </mergeCells>
  <printOptions horizontalCentered="1"/>
  <pageMargins left="0.15748031496062992" right="0.15748031496062992" top="0.15748031496062992" bottom="0.2362204724409449" header="0.15748031496062992" footer="0.1574803149606299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L618"/>
  <sheetViews>
    <sheetView zoomScale="150" zoomScaleNormal="150" workbookViewId="0" topLeftCell="A99">
      <selection activeCell="E117" sqref="E117"/>
    </sheetView>
  </sheetViews>
  <sheetFormatPr defaultColWidth="9.140625" defaultRowHeight="12.75"/>
  <cols>
    <col min="1" max="1" width="75.7109375" style="28" customWidth="1"/>
    <col min="2" max="2" width="5.7109375" style="18" hidden="1" customWidth="1"/>
    <col min="3" max="3" width="23.7109375" style="81" hidden="1" customWidth="1"/>
    <col min="4" max="4" width="0.2890625" style="18" hidden="1" customWidth="1"/>
    <col min="5" max="5" width="17.8515625" style="81" customWidth="1"/>
    <col min="6" max="6" width="14.8515625" style="81" bestFit="1" customWidth="1"/>
    <col min="7" max="7" width="20.7109375" style="81" customWidth="1"/>
    <col min="8" max="11" width="9.140625" style="81" customWidth="1"/>
    <col min="12" max="16384" width="9.140625" style="18" customWidth="1"/>
  </cols>
  <sheetData>
    <row r="1" spans="5:6" ht="12.75">
      <c r="E1" s="399" t="s">
        <v>692</v>
      </c>
      <c r="F1" s="400"/>
    </row>
    <row r="2" spans="1:5" ht="26.25" customHeight="1">
      <c r="A2" s="817" t="s">
        <v>601</v>
      </c>
      <c r="B2" s="817"/>
      <c r="C2" s="817"/>
      <c r="D2" s="817"/>
      <c r="E2" s="817"/>
    </row>
    <row r="4" spans="1:11" s="85" customFormat="1" ht="15.75">
      <c r="A4" s="84" t="s">
        <v>758</v>
      </c>
      <c r="C4" s="86"/>
      <c r="E4" s="87">
        <f>E6+E37+E53+E65+E71+E109+E118+E124+E142+E338+E361+E448+E461+E467+E103+E441+E42</f>
        <v>8307753.36</v>
      </c>
      <c r="F4" s="86"/>
      <c r="G4" s="86"/>
      <c r="H4" s="86"/>
      <c r="I4" s="86"/>
      <c r="J4" s="86"/>
      <c r="K4" s="86"/>
    </row>
    <row r="6" spans="1:5" ht="15.75">
      <c r="A6" s="88" t="s">
        <v>759</v>
      </c>
      <c r="C6" s="89">
        <v>1233650.42</v>
      </c>
      <c r="E6" s="89">
        <f>SUM(E9:E35)</f>
        <v>507149.0399999999</v>
      </c>
    </row>
    <row r="7" ht="15.75">
      <c r="A7" s="78"/>
    </row>
    <row r="8" ht="15.75">
      <c r="A8" s="78" t="s">
        <v>760</v>
      </c>
    </row>
    <row r="9" spans="1:5" ht="15.75">
      <c r="A9" s="90" t="s">
        <v>761</v>
      </c>
      <c r="C9" s="86">
        <v>41163.41</v>
      </c>
      <c r="E9" s="818">
        <v>14711.34</v>
      </c>
    </row>
    <row r="10" spans="1:5" ht="78.75">
      <c r="A10" s="90" t="s">
        <v>286</v>
      </c>
      <c r="E10" s="818"/>
    </row>
    <row r="11" spans="1:5" ht="15.75">
      <c r="A11" s="92" t="s">
        <v>762</v>
      </c>
      <c r="E11" s="91">
        <v>986.37</v>
      </c>
    </row>
    <row r="12" spans="1:5" ht="15.75" hidden="1">
      <c r="A12" s="92" t="s">
        <v>1072</v>
      </c>
      <c r="C12" s="93"/>
      <c r="E12" s="93"/>
    </row>
    <row r="13" spans="1:5" ht="15.75" hidden="1">
      <c r="A13" s="92" t="s">
        <v>575</v>
      </c>
      <c r="C13" s="93"/>
      <c r="E13" s="93"/>
    </row>
    <row r="14" spans="1:5" ht="15.75" hidden="1">
      <c r="A14" s="92" t="s">
        <v>576</v>
      </c>
      <c r="C14" s="93"/>
      <c r="E14" s="93"/>
    </row>
    <row r="15" spans="1:5" ht="15.75" hidden="1">
      <c r="A15" s="92" t="s">
        <v>577</v>
      </c>
      <c r="C15" s="93"/>
      <c r="E15" s="93"/>
    </row>
    <row r="16" spans="1:5" ht="15.75" hidden="1">
      <c r="A16" s="92" t="s">
        <v>1073</v>
      </c>
      <c r="C16" s="93"/>
      <c r="E16" s="93"/>
    </row>
    <row r="17" spans="1:5" ht="15.75" hidden="1">
      <c r="A17" s="92" t="s">
        <v>1037</v>
      </c>
      <c r="C17" s="93"/>
      <c r="E17" s="93"/>
    </row>
    <row r="18" spans="1:5" ht="15.75" hidden="1">
      <c r="A18" s="92" t="s">
        <v>743</v>
      </c>
      <c r="C18" s="93"/>
      <c r="E18" s="93"/>
    </row>
    <row r="19" spans="1:5" ht="15.75" hidden="1">
      <c r="A19" s="92" t="s">
        <v>1038</v>
      </c>
      <c r="C19" s="93"/>
      <c r="E19" s="93"/>
    </row>
    <row r="20" spans="1:5" ht="15.75" hidden="1">
      <c r="A20" s="92" t="s">
        <v>1039</v>
      </c>
      <c r="C20" s="93"/>
      <c r="E20" s="93"/>
    </row>
    <row r="21" spans="1:5" ht="15.75">
      <c r="A21" s="92" t="s">
        <v>1040</v>
      </c>
      <c r="C21" s="93"/>
      <c r="E21" s="93">
        <v>202674.3</v>
      </c>
    </row>
    <row r="22" spans="1:5" ht="15.75" hidden="1">
      <c r="A22" s="92" t="s">
        <v>1041</v>
      </c>
      <c r="C22" s="93"/>
      <c r="E22" s="93"/>
    </row>
    <row r="23" spans="1:5" ht="15.75" hidden="1">
      <c r="A23" s="92" t="s">
        <v>1042</v>
      </c>
      <c r="C23" s="93"/>
      <c r="E23" s="93"/>
    </row>
    <row r="24" spans="1:5" ht="15.75" hidden="1">
      <c r="A24" s="92" t="s">
        <v>1043</v>
      </c>
      <c r="C24" s="93"/>
      <c r="E24" s="93"/>
    </row>
    <row r="25" spans="1:5" ht="15.75" hidden="1">
      <c r="A25" s="92" t="s">
        <v>1044</v>
      </c>
      <c r="C25" s="93"/>
      <c r="E25" s="93"/>
    </row>
    <row r="26" spans="1:5" ht="15.75">
      <c r="A26" s="92" t="s">
        <v>287</v>
      </c>
      <c r="E26" s="91">
        <v>30500</v>
      </c>
    </row>
    <row r="27" spans="1:11" s="95" customFormat="1" ht="31.5">
      <c r="A27" s="92" t="s">
        <v>288</v>
      </c>
      <c r="C27" s="93"/>
      <c r="E27" s="93">
        <v>155.34</v>
      </c>
      <c r="F27" s="93"/>
      <c r="G27" s="93"/>
      <c r="H27" s="93"/>
      <c r="I27" s="93"/>
      <c r="J27" s="93"/>
      <c r="K27" s="93"/>
    </row>
    <row r="28" spans="1:11" s="95" customFormat="1" ht="31.5" hidden="1">
      <c r="A28" s="92" t="s">
        <v>603</v>
      </c>
      <c r="C28" s="93"/>
      <c r="E28" s="93"/>
      <c r="F28" s="93"/>
      <c r="G28" s="93"/>
      <c r="H28" s="93"/>
      <c r="I28" s="93"/>
      <c r="J28" s="93"/>
      <c r="K28" s="93"/>
    </row>
    <row r="29" spans="1:11" s="95" customFormat="1" ht="15.75" hidden="1">
      <c r="A29" s="92" t="s">
        <v>602</v>
      </c>
      <c r="C29" s="93"/>
      <c r="E29" s="93"/>
      <c r="F29" s="93"/>
      <c r="G29" s="93"/>
      <c r="H29" s="93"/>
      <c r="I29" s="93"/>
      <c r="J29" s="93"/>
      <c r="K29" s="93"/>
    </row>
    <row r="30" spans="1:11" s="95" customFormat="1" ht="36.75" customHeight="1" hidden="1">
      <c r="A30" s="92" t="s">
        <v>604</v>
      </c>
      <c r="C30" s="93"/>
      <c r="E30" s="93"/>
      <c r="F30" s="93"/>
      <c r="G30" s="93"/>
      <c r="H30" s="93"/>
      <c r="I30" s="93"/>
      <c r="J30" s="93"/>
      <c r="K30" s="93"/>
    </row>
    <row r="31" spans="1:5" ht="15.75">
      <c r="A31" s="90" t="s">
        <v>1074</v>
      </c>
      <c r="C31" s="93">
        <v>1284</v>
      </c>
      <c r="E31" s="93">
        <v>564.52</v>
      </c>
    </row>
    <row r="32" spans="1:5" ht="31.5">
      <c r="A32" s="92" t="s">
        <v>289</v>
      </c>
      <c r="C32" s="86">
        <v>12915.96</v>
      </c>
      <c r="E32" s="93">
        <v>9621.69</v>
      </c>
    </row>
    <row r="33" spans="1:5" ht="15.75">
      <c r="A33" s="92" t="s">
        <v>1077</v>
      </c>
      <c r="E33" s="93">
        <v>243074</v>
      </c>
    </row>
    <row r="34" spans="1:5" ht="15.75">
      <c r="A34" s="92" t="s">
        <v>1078</v>
      </c>
      <c r="E34" s="93">
        <v>4861.48</v>
      </c>
    </row>
    <row r="35" spans="1:5" ht="15.75" hidden="1">
      <c r="A35" s="92" t="s">
        <v>605</v>
      </c>
      <c r="E35" s="93"/>
    </row>
    <row r="36" ht="15.75">
      <c r="A36" s="84"/>
    </row>
    <row r="37" spans="1:5" ht="15.75">
      <c r="A37" s="88" t="s">
        <v>1075</v>
      </c>
      <c r="C37" s="89">
        <v>2010</v>
      </c>
      <c r="E37" s="89">
        <f>E39+E40</f>
        <v>2708.06</v>
      </c>
    </row>
    <row r="38" ht="15.75">
      <c r="A38" s="78"/>
    </row>
    <row r="39" spans="1:5" ht="15.75">
      <c r="A39" s="92" t="s">
        <v>290</v>
      </c>
      <c r="E39" s="93">
        <v>1000.06</v>
      </c>
    </row>
    <row r="40" spans="1:5" ht="31.5">
      <c r="A40" s="92" t="s">
        <v>291</v>
      </c>
      <c r="E40" s="93">
        <v>1708</v>
      </c>
    </row>
    <row r="42" spans="1:5" ht="15.75">
      <c r="A42" s="88" t="s">
        <v>1076</v>
      </c>
      <c r="C42" s="89">
        <v>266390.92</v>
      </c>
      <c r="E42" s="89">
        <f>SUM(E45:E51)</f>
        <v>124530</v>
      </c>
    </row>
    <row r="43" ht="15.75">
      <c r="A43" s="78"/>
    </row>
    <row r="44" ht="15.75">
      <c r="A44" s="78" t="s">
        <v>760</v>
      </c>
    </row>
    <row r="45" spans="1:5" ht="47.25">
      <c r="A45" s="92" t="s">
        <v>292</v>
      </c>
      <c r="E45" s="93">
        <v>97690</v>
      </c>
    </row>
    <row r="46" spans="1:5" ht="31.5" hidden="1">
      <c r="A46" s="92" t="s">
        <v>606</v>
      </c>
      <c r="E46" s="93"/>
    </row>
    <row r="47" spans="1:5" ht="15.75">
      <c r="A47" s="92" t="s">
        <v>293</v>
      </c>
      <c r="E47" s="93">
        <v>9760</v>
      </c>
    </row>
    <row r="48" spans="1:5" ht="15.75">
      <c r="A48" s="92" t="s">
        <v>295</v>
      </c>
      <c r="E48" s="93">
        <v>17080</v>
      </c>
    </row>
    <row r="49" spans="1:5" ht="15.75" hidden="1">
      <c r="A49" s="92" t="s">
        <v>607</v>
      </c>
      <c r="E49" s="93"/>
    </row>
    <row r="50" spans="1:5" ht="15.75" hidden="1">
      <c r="A50" s="92" t="s">
        <v>608</v>
      </c>
      <c r="E50" s="93"/>
    </row>
    <row r="51" spans="1:5" ht="15.75" hidden="1">
      <c r="A51" s="92" t="s">
        <v>609</v>
      </c>
      <c r="E51" s="93"/>
    </row>
    <row r="52" spans="1:5" ht="15.75">
      <c r="A52" s="92"/>
      <c r="E52" s="93"/>
    </row>
    <row r="53" spans="1:5" ht="15.75">
      <c r="A53" s="88" t="s">
        <v>1079</v>
      </c>
      <c r="C53" s="89">
        <v>726277.2</v>
      </c>
      <c r="E53" s="89">
        <f>SUM(E56:E63)</f>
        <v>498877.73000000004</v>
      </c>
    </row>
    <row r="54" ht="15.75">
      <c r="A54" s="78"/>
    </row>
    <row r="55" ht="15.75">
      <c r="A55" s="78" t="s">
        <v>1080</v>
      </c>
    </row>
    <row r="56" spans="1:5" ht="47.25">
      <c r="A56" s="92" t="s">
        <v>610</v>
      </c>
      <c r="C56" s="93">
        <v>593426.32</v>
      </c>
      <c r="E56" s="93">
        <v>190000</v>
      </c>
    </row>
    <row r="57" spans="1:5" ht="50.25" customHeight="1">
      <c r="A57" s="92" t="s">
        <v>296</v>
      </c>
      <c r="C57" s="93">
        <v>593426.32</v>
      </c>
      <c r="E57" s="93">
        <v>123096</v>
      </c>
    </row>
    <row r="58" spans="1:5" ht="15.75">
      <c r="A58" s="92" t="s">
        <v>297</v>
      </c>
      <c r="E58" s="93">
        <v>6405</v>
      </c>
    </row>
    <row r="59" spans="1:5" ht="31.5">
      <c r="A59" s="92" t="s">
        <v>298</v>
      </c>
      <c r="E59" s="93">
        <f>2000+2000+15462+42162+65615.6+22915.2</f>
        <v>150154.80000000002</v>
      </c>
    </row>
    <row r="60" spans="1:5" ht="15.75">
      <c r="A60" s="92" t="s">
        <v>1081</v>
      </c>
      <c r="C60" s="86"/>
      <c r="E60" s="93">
        <v>3267.24</v>
      </c>
    </row>
    <row r="61" spans="1:5" ht="15.75">
      <c r="A61" s="92" t="s">
        <v>744</v>
      </c>
      <c r="C61" s="86">
        <v>2440</v>
      </c>
      <c r="E61" s="93">
        <v>336.52</v>
      </c>
    </row>
    <row r="62" spans="1:5" ht="15.75">
      <c r="A62" s="92" t="s">
        <v>578</v>
      </c>
      <c r="C62" s="86"/>
      <c r="E62" s="93"/>
    </row>
    <row r="63" spans="1:5" ht="47.25">
      <c r="A63" s="92" t="s">
        <v>299</v>
      </c>
      <c r="C63" s="93">
        <v>28011.83</v>
      </c>
      <c r="E63" s="93">
        <f>28885.41-E60</f>
        <v>25618.17</v>
      </c>
    </row>
    <row r="64" ht="15.75">
      <c r="A64" s="17"/>
    </row>
    <row r="65" spans="1:5" ht="15.75">
      <c r="A65" s="88" t="s">
        <v>189</v>
      </c>
      <c r="C65" s="89">
        <v>857.45</v>
      </c>
      <c r="E65" s="89">
        <f>SUM(E68:E70)</f>
        <v>12531.8</v>
      </c>
    </row>
    <row r="66" ht="15.75">
      <c r="A66" s="78"/>
    </row>
    <row r="67" ht="15.75">
      <c r="A67" s="90" t="s">
        <v>1080</v>
      </c>
    </row>
    <row r="68" spans="1:12" ht="15.75">
      <c r="A68" s="94" t="s">
        <v>579</v>
      </c>
      <c r="E68" s="93">
        <v>1900</v>
      </c>
      <c r="L68" s="95"/>
    </row>
    <row r="69" spans="1:12" ht="31.5">
      <c r="A69" s="94" t="s">
        <v>190</v>
      </c>
      <c r="E69" s="93">
        <v>4056</v>
      </c>
      <c r="L69" s="95"/>
    </row>
    <row r="70" spans="1:5" ht="31.5">
      <c r="A70" s="94" t="s">
        <v>300</v>
      </c>
      <c r="E70" s="93">
        <f>3138.45+597.8+597.8+1345.05+896.7</f>
        <v>6575.8</v>
      </c>
    </row>
    <row r="71" spans="1:5" ht="15.75">
      <c r="A71" s="88" t="s">
        <v>191</v>
      </c>
      <c r="C71" s="89">
        <v>2319975.97</v>
      </c>
      <c r="E71" s="89">
        <f>SUM(E74:E101)</f>
        <v>1257180.6300000004</v>
      </c>
    </row>
    <row r="72" ht="15.75">
      <c r="A72" s="78"/>
    </row>
    <row r="73" ht="15.75">
      <c r="A73" s="78" t="s">
        <v>1080</v>
      </c>
    </row>
    <row r="74" spans="1:5" ht="15.75">
      <c r="A74" s="90" t="s">
        <v>192</v>
      </c>
      <c r="C74" s="86">
        <v>46144</v>
      </c>
      <c r="E74" s="93">
        <v>30663</v>
      </c>
    </row>
    <row r="75" spans="1:5" ht="45.75" customHeight="1">
      <c r="A75" s="92" t="s">
        <v>315</v>
      </c>
      <c r="C75" s="93">
        <v>108919.18</v>
      </c>
      <c r="E75" s="93">
        <f>92575.28-E76-E77</f>
        <v>62175.36</v>
      </c>
    </row>
    <row r="76" spans="1:5" ht="15.75">
      <c r="A76" s="92" t="s">
        <v>580</v>
      </c>
      <c r="C76" s="86">
        <v>54527.2</v>
      </c>
      <c r="E76" s="93">
        <f>1965.6+1250+770.4+587.56+585+1986.16+2571.63+93.82+74.65+6610.1+850+270+585</f>
        <v>18199.92</v>
      </c>
    </row>
    <row r="77" spans="1:5" ht="15.75">
      <c r="A77" s="92" t="s">
        <v>745</v>
      </c>
      <c r="C77" s="86">
        <v>11400</v>
      </c>
      <c r="E77" s="93">
        <f>3050+3050+3050+3050</f>
        <v>12200</v>
      </c>
    </row>
    <row r="78" spans="1:5" ht="31.5">
      <c r="A78" s="92" t="s">
        <v>301</v>
      </c>
      <c r="C78" s="86">
        <v>1014548.93</v>
      </c>
      <c r="E78" s="93">
        <f>561995.89+84310.72+20236.83</f>
        <v>666543.44</v>
      </c>
    </row>
    <row r="79" spans="1:5" ht="15.75">
      <c r="A79" s="90" t="s">
        <v>193</v>
      </c>
      <c r="C79" s="93">
        <v>191831.68</v>
      </c>
      <c r="E79" s="93">
        <f>93426.53+16672.95</f>
        <v>110099.48</v>
      </c>
    </row>
    <row r="80" spans="1:5" ht="15.75">
      <c r="A80" s="90" t="s">
        <v>194</v>
      </c>
      <c r="C80" s="93">
        <v>30960</v>
      </c>
      <c r="E80" s="93">
        <v>35000</v>
      </c>
    </row>
    <row r="81" spans="1:5" ht="15.75">
      <c r="A81" s="92" t="s">
        <v>302</v>
      </c>
      <c r="C81" s="93"/>
      <c r="E81" s="93">
        <v>9726</v>
      </c>
    </row>
    <row r="82" spans="1:5" ht="15.75">
      <c r="A82" s="92" t="s">
        <v>303</v>
      </c>
      <c r="C82" s="93"/>
      <c r="E82" s="93">
        <v>25465.92</v>
      </c>
    </row>
    <row r="83" spans="1:5" ht="15.75">
      <c r="A83" s="92" t="s">
        <v>304</v>
      </c>
      <c r="C83" s="93"/>
      <c r="E83" s="93">
        <f>2913.36+1952.02+13888.71</f>
        <v>18754.09</v>
      </c>
    </row>
    <row r="84" spans="1:5" ht="15.75">
      <c r="A84" s="92" t="s">
        <v>308</v>
      </c>
      <c r="C84" s="93"/>
      <c r="E84" s="93">
        <v>22004.55</v>
      </c>
    </row>
    <row r="85" spans="1:5" ht="15.75">
      <c r="A85" s="92" t="s">
        <v>309</v>
      </c>
      <c r="C85" s="93"/>
      <c r="E85" s="93">
        <v>7355.91</v>
      </c>
    </row>
    <row r="86" spans="1:5" ht="15.75">
      <c r="A86" s="92" t="s">
        <v>310</v>
      </c>
      <c r="C86" s="93"/>
      <c r="E86" s="93">
        <f>3790.18+885.36+6378.13</f>
        <v>11053.67</v>
      </c>
    </row>
    <row r="87" spans="1:5" ht="15.75">
      <c r="A87" s="92" t="s">
        <v>311</v>
      </c>
      <c r="C87" s="93"/>
      <c r="E87" s="93">
        <v>2684</v>
      </c>
    </row>
    <row r="88" spans="1:5" ht="15.75">
      <c r="A88" s="92" t="s">
        <v>305</v>
      </c>
      <c r="C88" s="93"/>
      <c r="E88" s="93">
        <f>2382.05+18743.27-2684</f>
        <v>18441.32</v>
      </c>
    </row>
    <row r="89" spans="1:5" ht="31.5">
      <c r="A89" s="92" t="s">
        <v>313</v>
      </c>
      <c r="C89" s="86">
        <v>5650</v>
      </c>
      <c r="E89" s="93">
        <f>3368.42+119+494.1+67.1</f>
        <v>4048.62</v>
      </c>
    </row>
    <row r="90" spans="1:5" ht="15.75">
      <c r="A90" s="90" t="s">
        <v>195</v>
      </c>
      <c r="C90" s="86">
        <v>71080.78</v>
      </c>
      <c r="E90" s="93">
        <v>1174.86</v>
      </c>
    </row>
    <row r="91" spans="1:5" ht="15.75">
      <c r="A91" s="92" t="s">
        <v>307</v>
      </c>
      <c r="C91" s="93">
        <v>73726.65</v>
      </c>
      <c r="E91" s="93">
        <v>11102</v>
      </c>
    </row>
    <row r="92" spans="1:5" ht="47.25">
      <c r="A92" s="740" t="s">
        <v>306</v>
      </c>
      <c r="C92" s="93"/>
      <c r="E92" s="93">
        <v>6954</v>
      </c>
    </row>
    <row r="93" spans="1:5" ht="47.25">
      <c r="A93" s="92" t="s">
        <v>312</v>
      </c>
      <c r="C93" s="93">
        <v>348977.91</v>
      </c>
      <c r="E93" s="93">
        <f>1007082.16-E78-E79-E80-E81-E82-E83-E84-E85-E86-E87-E88-E89-E90-E91-E92</f>
        <v>56674.30000000012</v>
      </c>
    </row>
    <row r="94" spans="1:5" ht="31.5">
      <c r="A94" s="92" t="s">
        <v>123</v>
      </c>
      <c r="C94" s="93">
        <v>2384.39</v>
      </c>
      <c r="E94" s="93">
        <f>126860.19-E95-E96-E97-E98-E99-E100-E101</f>
        <v>27436.689999999988</v>
      </c>
    </row>
    <row r="95" spans="1:5" ht="126">
      <c r="A95" s="92" t="s">
        <v>6</v>
      </c>
      <c r="C95" s="93"/>
      <c r="E95" s="93">
        <f>3068.54+1185.91+5537.58+818.99+9516+2506+549.75+9950.61+1817.8+325+237.9+1499+357.49</f>
        <v>37370.57</v>
      </c>
    </row>
    <row r="96" spans="1:5" ht="47.25">
      <c r="A96" s="92" t="s">
        <v>318</v>
      </c>
      <c r="C96" s="93">
        <v>45294.72</v>
      </c>
      <c r="E96" s="93">
        <f>148.97+50.29+133.24+177.48+1000+136.28+49.04+154.68+121.95+100.8+1070+137.89+428.58+249.81+199.99+200.01+200+231.8+234.72+147.66+289+466.49+356.08+599.8+101.65+200+169.9+188.01+235.5+211.9+55+99.67+103.5+73.48+27+200+201.12+120.01+101.15+191.18+280.24+130.2</f>
        <v>9574.07</v>
      </c>
    </row>
    <row r="97" spans="1:5" ht="15.75">
      <c r="A97" s="92" t="s">
        <v>319</v>
      </c>
      <c r="C97" s="86">
        <v>4813.98</v>
      </c>
      <c r="E97" s="93">
        <f>944</f>
        <v>944</v>
      </c>
    </row>
    <row r="98" spans="1:5" ht="15.75">
      <c r="A98" s="92" t="s">
        <v>320</v>
      </c>
      <c r="C98" s="86">
        <v>4813.98</v>
      </c>
      <c r="E98" s="93">
        <v>6412.4</v>
      </c>
    </row>
    <row r="99" spans="1:5" ht="15.75">
      <c r="A99" s="92" t="s">
        <v>316</v>
      </c>
      <c r="C99" s="86"/>
      <c r="E99" s="93">
        <v>1200</v>
      </c>
    </row>
    <row r="100" spans="1:5" ht="15.75">
      <c r="A100" s="92" t="s">
        <v>317</v>
      </c>
      <c r="C100" s="86"/>
      <c r="E100" s="93">
        <v>24490.77</v>
      </c>
    </row>
    <row r="101" spans="1:5" ht="31.5">
      <c r="A101" s="92" t="s">
        <v>314</v>
      </c>
      <c r="C101" s="86"/>
      <c r="E101" s="93">
        <f>6341.39+3520.57+9115.73+454</f>
        <v>19431.690000000002</v>
      </c>
    </row>
    <row r="102" ht="15.75">
      <c r="A102" s="17"/>
    </row>
    <row r="103" spans="1:5" ht="31.5" hidden="1">
      <c r="A103" s="16" t="s">
        <v>321</v>
      </c>
      <c r="C103" s="89">
        <v>9910.15</v>
      </c>
      <c r="E103" s="89">
        <f>E106+E107</f>
        <v>0</v>
      </c>
    </row>
    <row r="104" spans="1:5" ht="15.75" hidden="1">
      <c r="A104" s="16"/>
      <c r="C104" s="89"/>
      <c r="E104" s="89"/>
    </row>
    <row r="105" ht="15.75" hidden="1">
      <c r="A105" s="78" t="s">
        <v>1080</v>
      </c>
    </row>
    <row r="106" spans="1:5" ht="15.75" hidden="1">
      <c r="A106" s="90" t="s">
        <v>322</v>
      </c>
      <c r="C106" s="93">
        <v>1050</v>
      </c>
      <c r="E106" s="93"/>
    </row>
    <row r="107" spans="1:5" ht="31.5" hidden="1">
      <c r="A107" s="92" t="s">
        <v>526</v>
      </c>
      <c r="C107" s="93">
        <v>8860.15</v>
      </c>
      <c r="E107" s="93"/>
    </row>
    <row r="108" ht="15.75" hidden="1">
      <c r="A108" s="84"/>
    </row>
    <row r="109" spans="1:5" ht="31.5">
      <c r="A109" s="16" t="s">
        <v>323</v>
      </c>
      <c r="E109" s="89">
        <f>SUM(E112:E117)</f>
        <v>59575.509999999995</v>
      </c>
    </row>
    <row r="110" spans="3:5" ht="15.75">
      <c r="C110" s="89">
        <v>169744.09</v>
      </c>
      <c r="E110" s="18"/>
    </row>
    <row r="111" ht="15.75">
      <c r="A111" s="78" t="s">
        <v>1080</v>
      </c>
    </row>
    <row r="112" spans="1:5" ht="31.5" hidden="1">
      <c r="A112" s="92" t="s">
        <v>237</v>
      </c>
      <c r="C112" s="93">
        <v>82818.52</v>
      </c>
      <c r="E112" s="93"/>
    </row>
    <row r="113" spans="1:5" ht="15.75" hidden="1">
      <c r="A113" s="92" t="s">
        <v>1169</v>
      </c>
      <c r="C113" s="93"/>
      <c r="E113" s="93"/>
    </row>
    <row r="114" spans="1:5" ht="51.75" customHeight="1">
      <c r="A114" s="96" t="s">
        <v>325</v>
      </c>
      <c r="C114" s="93">
        <v>82818.52</v>
      </c>
      <c r="E114" s="93">
        <v>22906.75</v>
      </c>
    </row>
    <row r="115" spans="1:5" ht="15.75">
      <c r="A115" s="90" t="s">
        <v>326</v>
      </c>
      <c r="C115" s="93">
        <v>82818.52</v>
      </c>
      <c r="E115" s="93">
        <f>59365.2-E114-E116</f>
        <v>35625.549999999996</v>
      </c>
    </row>
    <row r="116" spans="1:5" ht="31.5">
      <c r="A116" s="92" t="s">
        <v>327</v>
      </c>
      <c r="C116" s="93">
        <v>82818.52</v>
      </c>
      <c r="E116" s="93">
        <f>325.5+170.54+122.11+49+71.6+94.15</f>
        <v>832.9</v>
      </c>
    </row>
    <row r="117" spans="1:5" ht="15.75">
      <c r="A117" s="92" t="s">
        <v>7</v>
      </c>
      <c r="E117" s="93">
        <v>210.31</v>
      </c>
    </row>
    <row r="118" spans="1:5" ht="47.25">
      <c r="A118" s="88" t="s">
        <v>328</v>
      </c>
      <c r="C118" s="89">
        <v>34564.06</v>
      </c>
      <c r="E118" s="89">
        <f>SUM(E120:E122)</f>
        <v>24087.47</v>
      </c>
    </row>
    <row r="119" ht="15.75">
      <c r="A119" s="78" t="s">
        <v>1080</v>
      </c>
    </row>
    <row r="120" spans="1:5" ht="15.75">
      <c r="A120" s="90" t="s">
        <v>329</v>
      </c>
      <c r="C120" s="93">
        <v>32789.65</v>
      </c>
      <c r="E120" s="93">
        <v>22233.08</v>
      </c>
    </row>
    <row r="121" spans="1:5" ht="15.75">
      <c r="A121" s="97" t="s">
        <v>330</v>
      </c>
      <c r="C121" s="86" t="s">
        <v>331</v>
      </c>
      <c r="E121" s="91">
        <v>1152.12</v>
      </c>
    </row>
    <row r="122" spans="1:5" ht="15.75">
      <c r="A122" s="98" t="s">
        <v>332</v>
      </c>
      <c r="C122" s="86">
        <v>1684.74</v>
      </c>
      <c r="E122" s="93">
        <v>702.27</v>
      </c>
    </row>
    <row r="123" ht="15.75">
      <c r="A123" s="84"/>
    </row>
    <row r="124" spans="1:5" ht="31.5">
      <c r="A124" s="88" t="s">
        <v>333</v>
      </c>
      <c r="E124" s="89">
        <f>SUM(E125:E128)</f>
        <v>94531.34</v>
      </c>
    </row>
    <row r="125" spans="1:5" ht="47.25">
      <c r="A125" s="92" t="s">
        <v>334</v>
      </c>
      <c r="C125" s="93">
        <v>83155.13</v>
      </c>
      <c r="E125" s="93">
        <v>351.12</v>
      </c>
    </row>
    <row r="126" spans="1:5" ht="47.25">
      <c r="A126" s="92" t="s">
        <v>599</v>
      </c>
      <c r="C126" s="93"/>
      <c r="E126" s="93">
        <v>74700.43</v>
      </c>
    </row>
    <row r="127" spans="1:5" ht="15.75">
      <c r="A127" s="92" t="s">
        <v>206</v>
      </c>
      <c r="C127" s="93">
        <v>83155.13</v>
      </c>
      <c r="E127" s="93">
        <v>16654.44</v>
      </c>
    </row>
    <row r="128" spans="1:5" ht="31.5">
      <c r="A128" s="92" t="s">
        <v>1170</v>
      </c>
      <c r="C128" s="93"/>
      <c r="E128" s="93">
        <v>2825.35</v>
      </c>
    </row>
    <row r="129" ht="15.75">
      <c r="A129" s="17"/>
    </row>
    <row r="130" ht="15.75">
      <c r="A130" s="88" t="s">
        <v>207</v>
      </c>
    </row>
    <row r="131" ht="31.5">
      <c r="A131" s="17" t="s">
        <v>8</v>
      </c>
    </row>
    <row r="132" ht="47.25">
      <c r="A132" s="741" t="s">
        <v>9</v>
      </c>
    </row>
    <row r="133" ht="173.25" hidden="1">
      <c r="A133" s="17" t="s">
        <v>196</v>
      </c>
    </row>
    <row r="134" ht="15.75" hidden="1">
      <c r="A134" s="17" t="s">
        <v>208</v>
      </c>
    </row>
    <row r="135" ht="31.5" hidden="1">
      <c r="A135" s="17" t="s">
        <v>209</v>
      </c>
    </row>
    <row r="136" ht="31.5" hidden="1">
      <c r="A136" s="17" t="s">
        <v>210</v>
      </c>
    </row>
    <row r="137" ht="15.75" hidden="1">
      <c r="A137" s="17" t="s">
        <v>211</v>
      </c>
    </row>
    <row r="138" ht="31.5" hidden="1">
      <c r="A138" s="17" t="s">
        <v>1182</v>
      </c>
    </row>
    <row r="139" ht="31.5" hidden="1">
      <c r="A139" s="17" t="s">
        <v>1183</v>
      </c>
    </row>
    <row r="140" ht="15.75" hidden="1">
      <c r="A140" s="17" t="s">
        <v>1184</v>
      </c>
    </row>
    <row r="141" ht="15.75">
      <c r="A141" s="17"/>
    </row>
    <row r="142" spans="1:5" ht="15.75">
      <c r="A142" s="88" t="s">
        <v>1185</v>
      </c>
      <c r="C142" s="89">
        <v>5520558.42</v>
      </c>
      <c r="E142" s="89">
        <f>E144+E229+E284+E305+E310+E326+E331+E260</f>
        <v>3839238.2600000002</v>
      </c>
    </row>
    <row r="143" spans="1:5" ht="15.75">
      <c r="A143" s="88"/>
      <c r="C143" s="89"/>
      <c r="E143" s="89"/>
    </row>
    <row r="144" spans="1:5" ht="15.75">
      <c r="A144" s="84" t="s">
        <v>1186</v>
      </c>
      <c r="C144" s="86">
        <v>2753439.81</v>
      </c>
      <c r="E144" s="86">
        <f>E146+E165+E187+E209</f>
        <v>1674656.19</v>
      </c>
    </row>
    <row r="145" spans="1:5" ht="15.75">
      <c r="A145" s="84"/>
      <c r="C145" s="86"/>
      <c r="E145" s="86"/>
    </row>
    <row r="146" spans="1:5" ht="15.75">
      <c r="A146" s="99" t="s">
        <v>1187</v>
      </c>
      <c r="C146" s="100">
        <v>1468700.58</v>
      </c>
      <c r="E146" s="100">
        <f>SUM(E148:E163)</f>
        <v>1022631.5099999999</v>
      </c>
    </row>
    <row r="147" ht="15.75">
      <c r="A147" s="78" t="s">
        <v>1188</v>
      </c>
    </row>
    <row r="148" spans="1:5" ht="15.75">
      <c r="A148" s="78" t="s">
        <v>1189</v>
      </c>
      <c r="C148" s="93">
        <v>1143730.62</v>
      </c>
      <c r="E148" s="93">
        <v>892980.07</v>
      </c>
    </row>
    <row r="149" ht="15.75">
      <c r="A149" s="78" t="s">
        <v>1190</v>
      </c>
    </row>
    <row r="150" spans="1:5" ht="15.75" hidden="1">
      <c r="A150" s="90" t="s">
        <v>1191</v>
      </c>
      <c r="C150" s="93">
        <v>1788.6</v>
      </c>
      <c r="E150" s="93"/>
    </row>
    <row r="151" spans="1:5" ht="15.75">
      <c r="A151" s="90" t="s">
        <v>1192</v>
      </c>
      <c r="C151" s="93">
        <v>64157.61</v>
      </c>
      <c r="E151" s="93">
        <v>31424.14</v>
      </c>
    </row>
    <row r="152" spans="1:5" ht="15.75">
      <c r="A152" s="90" t="s">
        <v>1193</v>
      </c>
      <c r="C152" s="93">
        <v>2366.49</v>
      </c>
      <c r="E152" s="93">
        <v>1067.32</v>
      </c>
    </row>
    <row r="153" spans="1:5" ht="15.75">
      <c r="A153" s="90" t="s">
        <v>1195</v>
      </c>
      <c r="C153" s="93"/>
      <c r="E153" s="93">
        <v>61172.82</v>
      </c>
    </row>
    <row r="154" spans="1:5" ht="31.5" hidden="1">
      <c r="A154" s="92" t="s">
        <v>683</v>
      </c>
      <c r="C154" s="93"/>
      <c r="E154" s="93">
        <v>0</v>
      </c>
    </row>
    <row r="155" spans="1:5" ht="15.75">
      <c r="A155" s="133" t="s">
        <v>684</v>
      </c>
      <c r="C155" s="93"/>
      <c r="E155" s="93">
        <v>1219</v>
      </c>
    </row>
    <row r="156" spans="1:5" ht="51" customHeight="1">
      <c r="A156" s="133" t="s">
        <v>10</v>
      </c>
      <c r="E156" s="93">
        <v>21132.02</v>
      </c>
    </row>
    <row r="157" spans="1:5" ht="15.75">
      <c r="A157" s="133" t="s">
        <v>685</v>
      </c>
      <c r="C157" s="93">
        <v>45687.06</v>
      </c>
      <c r="E157" s="93">
        <v>3835.68</v>
      </c>
    </row>
    <row r="158" spans="1:5" ht="15.75">
      <c r="A158" s="133" t="s">
        <v>686</v>
      </c>
      <c r="E158" s="93">
        <v>845.81</v>
      </c>
    </row>
    <row r="159" spans="1:5" ht="15.75">
      <c r="A159" s="133" t="s">
        <v>687</v>
      </c>
      <c r="E159" s="93">
        <v>2433.86</v>
      </c>
    </row>
    <row r="160" spans="1:5" ht="15.75">
      <c r="A160" s="90" t="s">
        <v>1197</v>
      </c>
      <c r="C160" s="93">
        <v>81925.81</v>
      </c>
      <c r="E160" s="93">
        <v>1312.28</v>
      </c>
    </row>
    <row r="161" spans="1:5" ht="15.75">
      <c r="A161" s="92" t="s">
        <v>1198</v>
      </c>
      <c r="C161" s="93">
        <v>15697.45</v>
      </c>
      <c r="E161" s="93">
        <v>360.5</v>
      </c>
    </row>
    <row r="162" spans="1:5" ht="15.75">
      <c r="A162" s="133" t="s">
        <v>688</v>
      </c>
      <c r="C162" s="93">
        <v>3152.48</v>
      </c>
      <c r="E162" s="93">
        <v>974.69</v>
      </c>
    </row>
    <row r="163" spans="1:5" ht="15.75">
      <c r="A163" s="356" t="s">
        <v>11</v>
      </c>
      <c r="C163" s="93"/>
      <c r="E163" s="93">
        <v>3873.32</v>
      </c>
    </row>
    <row r="164" spans="1:5" ht="15.75">
      <c r="A164" s="92"/>
      <c r="C164" s="93"/>
      <c r="E164" s="93"/>
    </row>
    <row r="165" spans="1:5" ht="15.75">
      <c r="A165" s="99" t="s">
        <v>1199</v>
      </c>
      <c r="C165" s="100">
        <v>561194.96</v>
      </c>
      <c r="E165" s="100">
        <f>SUM(E167:E184)</f>
        <v>375908.3800000001</v>
      </c>
    </row>
    <row r="166" ht="15.75">
      <c r="A166" s="78" t="s">
        <v>1200</v>
      </c>
    </row>
    <row r="167" spans="1:5" ht="15.75">
      <c r="A167" s="78" t="s">
        <v>212</v>
      </c>
      <c r="C167" s="93">
        <v>466665.82</v>
      </c>
      <c r="E167" s="93">
        <v>270698.51</v>
      </c>
    </row>
    <row r="168" ht="15.75">
      <c r="A168" s="78" t="s">
        <v>1190</v>
      </c>
    </row>
    <row r="169" spans="1:5" ht="15.75" hidden="1">
      <c r="A169" s="90" t="s">
        <v>1191</v>
      </c>
      <c r="C169" s="91" t="s">
        <v>213</v>
      </c>
      <c r="E169" s="91"/>
    </row>
    <row r="170" spans="1:5" ht="15.75">
      <c r="A170" s="90" t="s">
        <v>1192</v>
      </c>
      <c r="C170" s="93">
        <v>13826.34</v>
      </c>
      <c r="E170" s="93">
        <v>17014.28</v>
      </c>
    </row>
    <row r="171" spans="1:5" ht="15.75">
      <c r="A171" s="90" t="s">
        <v>214</v>
      </c>
      <c r="C171" s="93">
        <v>46343.56</v>
      </c>
      <c r="E171" s="93">
        <v>66215.32</v>
      </c>
    </row>
    <row r="172" spans="1:5" ht="15.75">
      <c r="A172" s="90" t="s">
        <v>215</v>
      </c>
      <c r="C172" s="93">
        <v>2190.07</v>
      </c>
      <c r="E172" s="93">
        <v>1175.03</v>
      </c>
    </row>
    <row r="173" spans="1:5" ht="15.75">
      <c r="A173" s="90" t="s">
        <v>216</v>
      </c>
      <c r="C173" s="93">
        <v>6265.45</v>
      </c>
      <c r="E173" s="93">
        <v>3636.27</v>
      </c>
    </row>
    <row r="174" spans="1:5" ht="15.75" hidden="1">
      <c r="A174" s="92" t="s">
        <v>689</v>
      </c>
      <c r="C174" s="93">
        <v>15697.45</v>
      </c>
      <c r="E174" s="93">
        <v>0</v>
      </c>
    </row>
    <row r="175" spans="1:5" ht="15.75" hidden="1">
      <c r="A175" s="133" t="s">
        <v>684</v>
      </c>
      <c r="C175" s="93"/>
      <c r="E175" s="93"/>
    </row>
    <row r="176" spans="1:5" ht="31.5">
      <c r="A176" s="133" t="s">
        <v>690</v>
      </c>
      <c r="E176" s="93">
        <v>8438.64</v>
      </c>
    </row>
    <row r="177" spans="1:5" ht="15.75">
      <c r="A177" s="92" t="s">
        <v>1194</v>
      </c>
      <c r="C177" s="93">
        <v>22317.48</v>
      </c>
      <c r="E177" s="93">
        <v>230</v>
      </c>
    </row>
    <row r="178" spans="1:5" ht="15.75">
      <c r="A178" s="133" t="s">
        <v>686</v>
      </c>
      <c r="C178" s="93"/>
      <c r="E178" s="93">
        <v>292.63</v>
      </c>
    </row>
    <row r="179" spans="1:5" ht="15.75">
      <c r="A179" s="133" t="s">
        <v>687</v>
      </c>
      <c r="C179" s="93"/>
      <c r="E179" s="93">
        <v>790.44</v>
      </c>
    </row>
    <row r="180" spans="1:5" ht="15.75">
      <c r="A180" s="90" t="s">
        <v>1197</v>
      </c>
      <c r="C180" s="93"/>
      <c r="E180" s="93">
        <v>688.17</v>
      </c>
    </row>
    <row r="181" spans="1:5" ht="15.75">
      <c r="A181" s="92" t="s">
        <v>1198</v>
      </c>
      <c r="C181" s="93">
        <v>2773.24</v>
      </c>
      <c r="E181" s="93">
        <v>352</v>
      </c>
    </row>
    <row r="182" spans="1:5" ht="15.75">
      <c r="A182" s="133" t="s">
        <v>688</v>
      </c>
      <c r="C182" s="93"/>
      <c r="E182" s="93">
        <v>120.19</v>
      </c>
    </row>
    <row r="183" spans="1:5" ht="15.75">
      <c r="A183" s="356" t="s">
        <v>11</v>
      </c>
      <c r="C183" s="93"/>
      <c r="E183" s="93">
        <v>1259.9</v>
      </c>
    </row>
    <row r="184" spans="1:5" ht="15.75">
      <c r="A184" s="92" t="s">
        <v>198</v>
      </c>
      <c r="C184" s="93"/>
      <c r="E184" s="93">
        <v>4997</v>
      </c>
    </row>
    <row r="185" spans="1:5" ht="15.75">
      <c r="A185" s="92"/>
      <c r="C185" s="93"/>
      <c r="E185" s="93"/>
    </row>
    <row r="186" spans="1:5" ht="15.75">
      <c r="A186" s="92"/>
      <c r="C186" s="93"/>
      <c r="E186" s="93"/>
    </row>
    <row r="187" spans="1:5" ht="15.75">
      <c r="A187" s="99" t="s">
        <v>647</v>
      </c>
      <c r="C187" s="100">
        <v>375495.4</v>
      </c>
      <c r="E187" s="100">
        <f>SUM(E189:E207)</f>
        <v>131939.43</v>
      </c>
    </row>
    <row r="188" ht="15.75">
      <c r="A188" s="78" t="s">
        <v>1188</v>
      </c>
    </row>
    <row r="189" spans="1:5" ht="15.75">
      <c r="A189" s="78" t="s">
        <v>1189</v>
      </c>
      <c r="C189" s="93">
        <v>318537.61</v>
      </c>
      <c r="E189" s="93">
        <v>113279.37</v>
      </c>
    </row>
    <row r="190" ht="15.75">
      <c r="A190" s="78" t="s">
        <v>1190</v>
      </c>
    </row>
    <row r="191" spans="1:5" ht="15.75" hidden="1">
      <c r="A191" s="90" t="s">
        <v>1191</v>
      </c>
      <c r="C191" s="93">
        <v>243.9</v>
      </c>
      <c r="E191" s="93"/>
    </row>
    <row r="192" spans="1:5" ht="15.75">
      <c r="A192" s="90" t="s">
        <v>1192</v>
      </c>
      <c r="C192" s="93">
        <v>20080.6</v>
      </c>
      <c r="E192" s="93">
        <v>2757.56</v>
      </c>
    </row>
    <row r="193" spans="1:5" ht="15.75">
      <c r="A193" s="92" t="s">
        <v>197</v>
      </c>
      <c r="C193" s="93">
        <v>17042.1</v>
      </c>
      <c r="E193" s="93">
        <v>6333</v>
      </c>
    </row>
    <row r="194" spans="1:5" ht="15.75">
      <c r="A194" s="90" t="s">
        <v>217</v>
      </c>
      <c r="C194" s="93">
        <v>1750.16</v>
      </c>
      <c r="E194" s="93">
        <v>106.5</v>
      </c>
    </row>
    <row r="195" spans="1:5" ht="15.75">
      <c r="A195" s="92" t="s">
        <v>216</v>
      </c>
      <c r="C195" s="93">
        <v>7030.04</v>
      </c>
      <c r="E195" s="93">
        <v>4056.31</v>
      </c>
    </row>
    <row r="196" spans="1:5" ht="15.75" hidden="1">
      <c r="A196" s="92" t="s">
        <v>1196</v>
      </c>
      <c r="C196" s="93">
        <v>15697.45</v>
      </c>
      <c r="E196" s="93"/>
    </row>
    <row r="197" spans="1:5" ht="15.75" hidden="1">
      <c r="A197" s="92" t="s">
        <v>1196</v>
      </c>
      <c r="C197" s="93"/>
      <c r="E197" s="93">
        <v>0</v>
      </c>
    </row>
    <row r="198" spans="1:5" ht="15.75">
      <c r="A198" s="133" t="s">
        <v>684</v>
      </c>
      <c r="C198" s="93"/>
      <c r="E198" s="93">
        <v>140</v>
      </c>
    </row>
    <row r="199" spans="1:5" ht="31.5">
      <c r="A199" s="133" t="s">
        <v>690</v>
      </c>
      <c r="E199" s="93">
        <v>3380.75</v>
      </c>
    </row>
    <row r="200" spans="1:5" ht="15.75">
      <c r="A200" s="92" t="s">
        <v>1194</v>
      </c>
      <c r="E200" s="93">
        <v>60.15</v>
      </c>
    </row>
    <row r="201" spans="1:5" ht="15.75">
      <c r="A201" s="133" t="s">
        <v>686</v>
      </c>
      <c r="E201" s="93">
        <v>273.31</v>
      </c>
    </row>
    <row r="202" spans="1:5" ht="15.75">
      <c r="A202" s="133" t="s">
        <v>687</v>
      </c>
      <c r="E202" s="93">
        <v>848.24</v>
      </c>
    </row>
    <row r="203" spans="1:5" ht="15.75">
      <c r="A203" s="90" t="s">
        <v>1197</v>
      </c>
      <c r="C203" s="93">
        <v>1169.94</v>
      </c>
      <c r="E203" s="93">
        <v>212.29</v>
      </c>
    </row>
    <row r="204" spans="1:5" ht="15.75">
      <c r="A204" s="92" t="s">
        <v>1198</v>
      </c>
      <c r="C204" s="93"/>
      <c r="E204" s="93">
        <v>377</v>
      </c>
    </row>
    <row r="205" spans="1:5" ht="15.75">
      <c r="A205" s="133" t="s">
        <v>688</v>
      </c>
      <c r="C205" s="93"/>
      <c r="E205" s="93">
        <v>54.95</v>
      </c>
    </row>
    <row r="206" spans="1:5" ht="15.75">
      <c r="A206" s="356" t="s">
        <v>11</v>
      </c>
      <c r="C206" s="93"/>
      <c r="E206" s="93">
        <v>60</v>
      </c>
    </row>
    <row r="207" spans="1:5" ht="15.75" hidden="1">
      <c r="A207" s="92" t="s">
        <v>198</v>
      </c>
      <c r="C207" s="93"/>
      <c r="E207" s="93">
        <v>0</v>
      </c>
    </row>
    <row r="208" ht="15.75">
      <c r="A208" s="99"/>
    </row>
    <row r="209" spans="1:5" ht="15.75">
      <c r="A209" s="99" t="s">
        <v>648</v>
      </c>
      <c r="C209" s="100">
        <v>348048.87</v>
      </c>
      <c r="E209" s="100">
        <f>SUM(E211:E227)</f>
        <v>144176.87</v>
      </c>
    </row>
    <row r="210" ht="15.75">
      <c r="A210" s="78" t="s">
        <v>219</v>
      </c>
    </row>
    <row r="211" spans="1:5" ht="15.75">
      <c r="A211" s="78" t="s">
        <v>212</v>
      </c>
      <c r="C211" s="93">
        <v>307584.8</v>
      </c>
      <c r="E211" s="93">
        <v>120101.12</v>
      </c>
    </row>
    <row r="212" ht="15.75">
      <c r="A212" s="78" t="s">
        <v>1190</v>
      </c>
    </row>
    <row r="213" spans="1:5" ht="15.75">
      <c r="A213" s="90" t="s">
        <v>1191</v>
      </c>
      <c r="C213" s="93">
        <v>487.8</v>
      </c>
      <c r="E213" s="93"/>
    </row>
    <row r="214" spans="1:5" ht="15.75">
      <c r="A214" s="90" t="s">
        <v>220</v>
      </c>
      <c r="C214" s="93">
        <v>10202.49</v>
      </c>
      <c r="E214" s="93">
        <v>2796.22</v>
      </c>
    </row>
    <row r="215" spans="1:5" ht="15.75">
      <c r="A215" s="90" t="s">
        <v>1083</v>
      </c>
      <c r="C215" s="93">
        <v>1097.39</v>
      </c>
      <c r="E215" s="93">
        <v>774.65</v>
      </c>
    </row>
    <row r="216" spans="1:5" ht="15.75">
      <c r="A216" s="90" t="s">
        <v>221</v>
      </c>
      <c r="C216" s="93">
        <v>21934.26</v>
      </c>
      <c r="E216" s="93">
        <v>12148.75</v>
      </c>
    </row>
    <row r="217" spans="1:5" ht="15.75" hidden="1">
      <c r="A217" s="92" t="s">
        <v>1196</v>
      </c>
      <c r="C217" s="93"/>
      <c r="E217" s="93">
        <v>0</v>
      </c>
    </row>
    <row r="218" spans="1:5" ht="15.75" hidden="1">
      <c r="A218" s="133" t="s">
        <v>684</v>
      </c>
      <c r="C218" s="93"/>
      <c r="E218" s="93">
        <v>0</v>
      </c>
    </row>
    <row r="219" spans="1:5" ht="31.5">
      <c r="A219" s="133" t="s">
        <v>12</v>
      </c>
      <c r="C219" s="93">
        <v>5282.94</v>
      </c>
      <c r="E219" s="93">
        <v>1456.03</v>
      </c>
    </row>
    <row r="220" spans="1:5" ht="15.75">
      <c r="A220" s="92" t="s">
        <v>1194</v>
      </c>
      <c r="C220" s="93"/>
      <c r="E220" s="93">
        <v>160</v>
      </c>
    </row>
    <row r="221" spans="1:5" ht="15.75">
      <c r="A221" s="133" t="s">
        <v>686</v>
      </c>
      <c r="C221" s="93"/>
      <c r="E221" s="93">
        <v>247.72</v>
      </c>
    </row>
    <row r="222" spans="1:5" ht="15.75">
      <c r="A222" s="133" t="s">
        <v>687</v>
      </c>
      <c r="C222" s="93"/>
      <c r="E222" s="93">
        <v>361.94</v>
      </c>
    </row>
    <row r="223" spans="1:5" ht="15.75">
      <c r="A223" s="90" t="s">
        <v>1197</v>
      </c>
      <c r="C223" s="93">
        <v>521.29</v>
      </c>
      <c r="E223" s="93">
        <v>208.95</v>
      </c>
    </row>
    <row r="224" spans="1:5" ht="15.75">
      <c r="A224" s="92" t="s">
        <v>1198</v>
      </c>
      <c r="C224" s="93"/>
      <c r="E224" s="93">
        <v>352</v>
      </c>
    </row>
    <row r="225" spans="1:5" ht="15.75">
      <c r="A225" s="133" t="s">
        <v>688</v>
      </c>
      <c r="C225" s="93"/>
      <c r="E225" s="93">
        <v>93.49</v>
      </c>
    </row>
    <row r="226" spans="1:5" ht="15.75">
      <c r="A226" s="356" t="s">
        <v>11</v>
      </c>
      <c r="C226" s="93"/>
      <c r="E226" s="93">
        <v>556</v>
      </c>
    </row>
    <row r="227" spans="1:5" ht="15.75">
      <c r="A227" s="92" t="s">
        <v>1082</v>
      </c>
      <c r="C227" s="93"/>
      <c r="E227" s="93">
        <v>4920</v>
      </c>
    </row>
    <row r="228" ht="15.75">
      <c r="A228" s="84"/>
    </row>
    <row r="229" spans="1:5" ht="15.75">
      <c r="A229" s="84" t="s">
        <v>649</v>
      </c>
      <c r="C229" s="86">
        <v>836974.1</v>
      </c>
      <c r="E229" s="86">
        <f>E231+E237+E251</f>
        <v>183270.62</v>
      </c>
    </row>
    <row r="230" spans="1:5" ht="15.75">
      <c r="A230" s="84"/>
      <c r="C230" s="86"/>
      <c r="E230" s="86"/>
    </row>
    <row r="231" spans="1:5" ht="15.75">
      <c r="A231" s="99" t="s">
        <v>222</v>
      </c>
      <c r="C231" s="100">
        <v>48603.61</v>
      </c>
      <c r="E231" s="100">
        <f>SUM(E233:E236)</f>
        <v>45657.630000000005</v>
      </c>
    </row>
    <row r="232" ht="15.75">
      <c r="A232" s="90" t="s">
        <v>223</v>
      </c>
    </row>
    <row r="233" spans="1:5" ht="15.75">
      <c r="A233" s="90" t="s">
        <v>224</v>
      </c>
      <c r="C233" s="93">
        <v>48503.81</v>
      </c>
      <c r="E233" s="93">
        <v>44955.1</v>
      </c>
    </row>
    <row r="234" spans="1:5" ht="15.75">
      <c r="A234" s="90" t="s">
        <v>225</v>
      </c>
      <c r="C234" s="93">
        <v>99.8</v>
      </c>
      <c r="E234" s="93">
        <v>539.41</v>
      </c>
    </row>
    <row r="235" spans="1:5" ht="15.75">
      <c r="A235" s="133" t="s">
        <v>13</v>
      </c>
      <c r="C235" s="93"/>
      <c r="E235" s="93">
        <v>163.12</v>
      </c>
    </row>
    <row r="236" spans="1:5" ht="15.75">
      <c r="A236" s="90"/>
      <c r="C236" s="93"/>
      <c r="E236" s="93"/>
    </row>
    <row r="237" spans="1:5" ht="15.75">
      <c r="A237" s="99" t="s">
        <v>226</v>
      </c>
      <c r="C237" s="100">
        <v>151931.99</v>
      </c>
      <c r="E237" s="100">
        <f>SUM(E238:E249)</f>
        <v>121400.4</v>
      </c>
    </row>
    <row r="238" spans="1:5" ht="15.75">
      <c r="A238" s="90" t="s">
        <v>227</v>
      </c>
      <c r="C238" s="93">
        <v>134368.34</v>
      </c>
      <c r="E238" s="93">
        <v>116510.41</v>
      </c>
    </row>
    <row r="239" spans="1:5" ht="15.75">
      <c r="A239" s="133" t="s">
        <v>14</v>
      </c>
      <c r="C239" s="93">
        <v>2241.09</v>
      </c>
      <c r="E239" s="93">
        <v>305.7</v>
      </c>
    </row>
    <row r="240" spans="1:5" ht="15.75">
      <c r="A240" s="90" t="s">
        <v>1193</v>
      </c>
      <c r="C240" s="93">
        <v>2584.43</v>
      </c>
      <c r="E240" s="93">
        <v>441.66</v>
      </c>
    </row>
    <row r="241" spans="1:5" ht="15.75">
      <c r="A241" s="90" t="s">
        <v>228</v>
      </c>
      <c r="C241" s="93">
        <v>8229.16</v>
      </c>
      <c r="E241" s="93">
        <v>2436.02</v>
      </c>
    </row>
    <row r="242" spans="1:5" ht="15.75" hidden="1">
      <c r="A242" s="90" t="s">
        <v>229</v>
      </c>
      <c r="C242" s="93"/>
      <c r="E242" s="93"/>
    </row>
    <row r="243" spans="1:5" ht="15.75" hidden="1">
      <c r="A243" s="92" t="s">
        <v>1196</v>
      </c>
      <c r="C243" s="93"/>
      <c r="E243" s="93">
        <v>0</v>
      </c>
    </row>
    <row r="244" spans="1:5" ht="15.75" hidden="1">
      <c r="A244" s="133" t="s">
        <v>684</v>
      </c>
      <c r="C244" s="93"/>
      <c r="E244" s="93">
        <v>0</v>
      </c>
    </row>
    <row r="245" spans="1:5" ht="31.5">
      <c r="A245" s="133" t="s">
        <v>690</v>
      </c>
      <c r="C245" s="93">
        <v>2997.56</v>
      </c>
      <c r="E245" s="93">
        <v>756.92</v>
      </c>
    </row>
    <row r="246" spans="1:5" ht="15.75">
      <c r="A246" s="133" t="s">
        <v>687</v>
      </c>
      <c r="C246" s="93"/>
      <c r="E246" s="93">
        <v>547.84</v>
      </c>
    </row>
    <row r="247" spans="1:5" ht="15.75">
      <c r="A247" s="90" t="s">
        <v>1197</v>
      </c>
      <c r="C247" s="93"/>
      <c r="E247" s="93">
        <v>367.65</v>
      </c>
    </row>
    <row r="248" spans="1:5" ht="15.75" hidden="1">
      <c r="A248" s="133" t="s">
        <v>688</v>
      </c>
      <c r="C248" s="93"/>
      <c r="E248" s="93"/>
    </row>
    <row r="249" spans="1:5" ht="15.75">
      <c r="A249" s="356" t="s">
        <v>11</v>
      </c>
      <c r="C249" s="93"/>
      <c r="E249" s="93">
        <v>34.2</v>
      </c>
    </row>
    <row r="250" spans="1:5" ht="15.75">
      <c r="A250" s="133"/>
      <c r="C250" s="93">
        <v>1511.41</v>
      </c>
      <c r="E250" s="93"/>
    </row>
    <row r="251" spans="1:5" ht="15.75">
      <c r="A251" s="99" t="s">
        <v>231</v>
      </c>
      <c r="C251" s="100">
        <v>151931.99</v>
      </c>
      <c r="E251" s="100">
        <f>SUM(E252:E259)</f>
        <v>16212.59</v>
      </c>
    </row>
    <row r="252" spans="1:5" ht="15.75">
      <c r="A252" s="90" t="s">
        <v>227</v>
      </c>
      <c r="C252" s="93">
        <v>134368.34</v>
      </c>
      <c r="E252" s="93">
        <v>15972.59</v>
      </c>
    </row>
    <row r="253" spans="1:5" ht="15.75">
      <c r="A253" s="90" t="s">
        <v>1193</v>
      </c>
      <c r="C253" s="93">
        <v>2241.09</v>
      </c>
      <c r="E253" s="93">
        <v>199</v>
      </c>
    </row>
    <row r="254" spans="1:5" ht="15.75">
      <c r="A254" s="133" t="s">
        <v>15</v>
      </c>
      <c r="C254" s="93"/>
      <c r="E254" s="93">
        <v>41</v>
      </c>
    </row>
    <row r="255" spans="1:5" ht="15.75">
      <c r="A255" s="90"/>
      <c r="C255" s="93"/>
      <c r="E255" s="93"/>
    </row>
    <row r="256" spans="1:5" ht="15.75" hidden="1">
      <c r="A256" s="90" t="s">
        <v>228</v>
      </c>
      <c r="C256" s="93">
        <v>8229.16</v>
      </c>
      <c r="E256" s="93"/>
    </row>
    <row r="257" spans="1:5" ht="15.75" hidden="1">
      <c r="A257" s="90" t="s">
        <v>229</v>
      </c>
      <c r="C257" s="93"/>
      <c r="E257" s="93"/>
    </row>
    <row r="258" spans="1:5" ht="15.75" hidden="1">
      <c r="A258" s="90" t="s">
        <v>230</v>
      </c>
      <c r="C258" s="93">
        <v>2997.56</v>
      </c>
      <c r="E258" s="93"/>
    </row>
    <row r="259" spans="1:5" ht="15.75" hidden="1">
      <c r="A259" s="90" t="s">
        <v>1197</v>
      </c>
      <c r="C259" s="93">
        <v>1511.41</v>
      </c>
      <c r="E259" s="93"/>
    </row>
    <row r="260" spans="1:5" ht="15.75">
      <c r="A260" s="84" t="s">
        <v>650</v>
      </c>
      <c r="C260" s="86">
        <v>836974.1</v>
      </c>
      <c r="E260" s="86">
        <f>E262+E280</f>
        <v>550321.73</v>
      </c>
    </row>
    <row r="261" ht="15.75">
      <c r="A261" s="78"/>
    </row>
    <row r="262" spans="1:5" ht="15.75">
      <c r="A262" s="99" t="s">
        <v>232</v>
      </c>
      <c r="C262" s="100">
        <v>564222.18</v>
      </c>
      <c r="E262" s="100">
        <f>SUM(E263:E278)</f>
        <v>439912.14</v>
      </c>
    </row>
    <row r="263" spans="1:5" ht="15.75">
      <c r="A263" s="90" t="s">
        <v>227</v>
      </c>
      <c r="C263" s="93">
        <v>463573.95</v>
      </c>
      <c r="E263" s="93">
        <v>389325.62</v>
      </c>
    </row>
    <row r="264" spans="1:5" ht="15.75">
      <c r="A264" s="90" t="s">
        <v>225</v>
      </c>
      <c r="C264" s="93">
        <v>13065.92</v>
      </c>
      <c r="E264" s="93">
        <v>12588.78</v>
      </c>
    </row>
    <row r="265" spans="1:5" ht="15.75">
      <c r="A265" s="90" t="s">
        <v>233</v>
      </c>
      <c r="C265" s="93">
        <v>3509.93</v>
      </c>
      <c r="E265" s="93">
        <v>2625.8</v>
      </c>
    </row>
    <row r="266" spans="1:5" ht="15.75">
      <c r="A266" s="90" t="s">
        <v>234</v>
      </c>
      <c r="C266" s="93">
        <v>39115.74</v>
      </c>
      <c r="E266" s="93">
        <v>22448.52</v>
      </c>
    </row>
    <row r="267" spans="1:5" ht="15.75">
      <c r="A267" s="92" t="s">
        <v>1196</v>
      </c>
      <c r="C267" s="93"/>
      <c r="E267" s="93">
        <v>0</v>
      </c>
    </row>
    <row r="268" spans="1:5" ht="15.75">
      <c r="A268" s="133" t="s">
        <v>684</v>
      </c>
      <c r="C268" s="93"/>
      <c r="E268" s="93">
        <v>140</v>
      </c>
    </row>
    <row r="269" spans="1:5" ht="31.5">
      <c r="A269" s="133" t="s">
        <v>16</v>
      </c>
      <c r="C269" s="93">
        <v>7787.14</v>
      </c>
      <c r="E269" s="93">
        <v>9478.52</v>
      </c>
    </row>
    <row r="270" spans="1:5" ht="15.75">
      <c r="A270" s="133" t="s">
        <v>685</v>
      </c>
      <c r="C270" s="93"/>
      <c r="E270" s="93">
        <v>763.98</v>
      </c>
    </row>
    <row r="271" spans="1:5" ht="15.75">
      <c r="A271" s="133" t="s">
        <v>686</v>
      </c>
      <c r="E271" s="93">
        <v>226.92</v>
      </c>
    </row>
    <row r="272" spans="1:5" ht="15.75">
      <c r="A272" s="133" t="s">
        <v>687</v>
      </c>
      <c r="C272" s="93">
        <v>528.59</v>
      </c>
      <c r="E272" s="93">
        <v>998.81</v>
      </c>
    </row>
    <row r="273" spans="1:5" ht="15.75">
      <c r="A273" s="90" t="s">
        <v>1197</v>
      </c>
      <c r="C273" s="93"/>
      <c r="E273" s="93">
        <v>515.44</v>
      </c>
    </row>
    <row r="274" spans="1:5" ht="15.75">
      <c r="A274" s="92" t="s">
        <v>1198</v>
      </c>
      <c r="C274" s="93"/>
      <c r="E274" s="93">
        <v>328.5</v>
      </c>
    </row>
    <row r="275" spans="1:5" ht="15.75">
      <c r="A275" s="133" t="s">
        <v>688</v>
      </c>
      <c r="C275" s="93"/>
      <c r="E275" s="93">
        <v>471.25</v>
      </c>
    </row>
    <row r="276" spans="1:5" ht="15.75" hidden="1">
      <c r="A276" s="133" t="s">
        <v>199</v>
      </c>
      <c r="C276" s="93"/>
      <c r="E276" s="93"/>
    </row>
    <row r="277" spans="1:5" ht="15.75" hidden="1">
      <c r="A277" s="133" t="s">
        <v>200</v>
      </c>
      <c r="C277" s="93"/>
      <c r="E277" s="93"/>
    </row>
    <row r="278" spans="1:5" ht="15.75" hidden="1">
      <c r="A278" s="92" t="s">
        <v>201</v>
      </c>
      <c r="C278" s="93"/>
      <c r="E278" s="93"/>
    </row>
    <row r="279" spans="1:5" ht="15.75">
      <c r="A279" s="92"/>
      <c r="C279" s="93"/>
      <c r="E279" s="93"/>
    </row>
    <row r="280" spans="1:5" ht="15.75">
      <c r="A280" s="99" t="s">
        <v>1084</v>
      </c>
      <c r="C280" s="100">
        <v>76760</v>
      </c>
      <c r="E280" s="100">
        <f>SUM(E281:E282)</f>
        <v>110409.59000000001</v>
      </c>
    </row>
    <row r="281" spans="1:5" ht="47.25">
      <c r="A281" s="90" t="s">
        <v>1085</v>
      </c>
      <c r="E281" s="93">
        <v>87247.82</v>
      </c>
    </row>
    <row r="282" spans="1:5" ht="33.75" customHeight="1">
      <c r="A282" s="90" t="s">
        <v>17</v>
      </c>
      <c r="E282" s="93">
        <v>23161.77</v>
      </c>
    </row>
    <row r="283" ht="15.75">
      <c r="A283" s="78"/>
    </row>
    <row r="284" spans="1:5" ht="15.75">
      <c r="A284" s="84" t="s">
        <v>651</v>
      </c>
      <c r="C284" s="86">
        <v>1428753.13</v>
      </c>
      <c r="E284" s="86">
        <f>SUM(E287:E303)</f>
        <v>977291.7200000001</v>
      </c>
    </row>
    <row r="285" ht="15.75">
      <c r="A285" s="78"/>
    </row>
    <row r="286" ht="15.75">
      <c r="A286" s="78" t="s">
        <v>110</v>
      </c>
    </row>
    <row r="287" spans="1:5" ht="15.75">
      <c r="A287" s="78" t="s">
        <v>111</v>
      </c>
      <c r="C287" s="93">
        <v>1188907.01</v>
      </c>
      <c r="E287" s="93">
        <v>834883.3</v>
      </c>
    </row>
    <row r="288" spans="1:5" ht="31.5">
      <c r="A288" s="133" t="s">
        <v>18</v>
      </c>
      <c r="C288" s="93">
        <v>14573.81</v>
      </c>
      <c r="E288" s="93">
        <v>21985.11</v>
      </c>
    </row>
    <row r="289" spans="1:5" ht="15.75">
      <c r="A289" s="90" t="s">
        <v>1193</v>
      </c>
      <c r="C289" s="93">
        <v>2317.42</v>
      </c>
      <c r="E289" s="93">
        <v>1039.52</v>
      </c>
    </row>
    <row r="290" spans="1:5" ht="15.75">
      <c r="A290" s="90" t="s">
        <v>218</v>
      </c>
      <c r="C290" s="93"/>
      <c r="E290" s="93">
        <v>52715.52</v>
      </c>
    </row>
    <row r="291" spans="1:5" ht="15.75">
      <c r="A291" s="92" t="s">
        <v>19</v>
      </c>
      <c r="C291" s="93"/>
      <c r="E291" s="93">
        <v>13678.58</v>
      </c>
    </row>
    <row r="292" spans="1:5" ht="15.75">
      <c r="A292" s="133" t="s">
        <v>684</v>
      </c>
      <c r="C292" s="93"/>
      <c r="E292" s="93">
        <v>1077</v>
      </c>
    </row>
    <row r="293" spans="1:5" ht="31.5">
      <c r="A293" s="133" t="s">
        <v>20</v>
      </c>
      <c r="E293" s="93">
        <v>13508.81</v>
      </c>
    </row>
    <row r="294" spans="1:5" ht="15.75">
      <c r="A294" s="92" t="s">
        <v>1194</v>
      </c>
      <c r="C294" s="93">
        <v>8833.97</v>
      </c>
      <c r="E294" s="93">
        <v>1011.16</v>
      </c>
    </row>
    <row r="295" spans="1:5" ht="15.75">
      <c r="A295" s="133" t="s">
        <v>686</v>
      </c>
      <c r="C295" s="93">
        <v>4808.36</v>
      </c>
      <c r="E295" s="93">
        <v>999.1</v>
      </c>
    </row>
    <row r="296" spans="1:5" ht="15.75">
      <c r="A296" s="133" t="s">
        <v>687</v>
      </c>
      <c r="C296" s="93"/>
      <c r="E296" s="93">
        <v>2518</v>
      </c>
    </row>
    <row r="297" spans="1:5" ht="15.75">
      <c r="A297" s="90" t="s">
        <v>1197</v>
      </c>
      <c r="C297" s="93">
        <v>4808.36</v>
      </c>
      <c r="E297" s="93">
        <v>2458.01</v>
      </c>
    </row>
    <row r="298" spans="1:5" ht="15.75">
      <c r="A298" s="92" t="s">
        <v>21</v>
      </c>
      <c r="C298" s="93"/>
      <c r="E298" s="93">
        <v>1462.16</v>
      </c>
    </row>
    <row r="299" spans="1:5" ht="15.75">
      <c r="A299" s="92" t="s">
        <v>1198</v>
      </c>
      <c r="C299" s="93"/>
      <c r="E299" s="93">
        <v>1694.5</v>
      </c>
    </row>
    <row r="300" spans="1:5" ht="15.75">
      <c r="A300" s="133" t="s">
        <v>688</v>
      </c>
      <c r="C300" s="93">
        <v>4808.36</v>
      </c>
      <c r="E300" s="93">
        <v>959.43</v>
      </c>
    </row>
    <row r="301" spans="1:5" ht="15.75">
      <c r="A301" s="356" t="s">
        <v>11</v>
      </c>
      <c r="C301" s="93"/>
      <c r="E301" s="93">
        <v>3731.36</v>
      </c>
    </row>
    <row r="302" spans="1:5" ht="15.75">
      <c r="A302" s="133" t="s">
        <v>22</v>
      </c>
      <c r="C302" s="93"/>
      <c r="E302" s="93">
        <v>21066.72</v>
      </c>
    </row>
    <row r="303" spans="1:5" ht="15.75">
      <c r="A303" s="92" t="s">
        <v>1082</v>
      </c>
      <c r="C303" s="93"/>
      <c r="E303" s="93">
        <v>2503.44</v>
      </c>
    </row>
    <row r="304" spans="1:5" ht="15.75">
      <c r="A304" s="92"/>
      <c r="C304" s="93"/>
      <c r="E304" s="93"/>
    </row>
    <row r="305" spans="1:5" ht="15.75">
      <c r="A305" s="84" t="s">
        <v>652</v>
      </c>
      <c r="C305" s="86">
        <v>296073.41</v>
      </c>
      <c r="E305" s="86">
        <f>SUM(E307:E308)</f>
        <v>276573.77</v>
      </c>
    </row>
    <row r="306" ht="15.75">
      <c r="A306" s="101"/>
    </row>
    <row r="307" spans="1:5" ht="15.75">
      <c r="A307" s="90" t="s">
        <v>112</v>
      </c>
      <c r="C307" s="93">
        <v>18097.58</v>
      </c>
      <c r="E307" s="93">
        <v>23336.27</v>
      </c>
    </row>
    <row r="308" spans="1:5" ht="31.5">
      <c r="A308" s="92" t="s">
        <v>1086</v>
      </c>
      <c r="E308" s="93">
        <v>253237.5</v>
      </c>
    </row>
    <row r="309" ht="15.75">
      <c r="A309" s="84"/>
    </row>
    <row r="310" spans="1:5" ht="15.75">
      <c r="A310" s="84" t="s">
        <v>653</v>
      </c>
      <c r="C310" s="86">
        <v>155349.94</v>
      </c>
      <c r="E310" s="86">
        <f>SUM(E313:E324)</f>
        <v>120616.46</v>
      </c>
    </row>
    <row r="311" ht="15.75">
      <c r="A311" s="78"/>
    </row>
    <row r="312" ht="15.75">
      <c r="A312" s="78" t="s">
        <v>113</v>
      </c>
    </row>
    <row r="313" ht="15.75">
      <c r="A313" s="78" t="s">
        <v>114</v>
      </c>
    </row>
    <row r="314" ht="15.75">
      <c r="A314" s="90" t="s">
        <v>115</v>
      </c>
    </row>
    <row r="315" spans="1:5" ht="15.75">
      <c r="A315" s="90" t="s">
        <v>116</v>
      </c>
      <c r="C315" s="93">
        <v>128300.47</v>
      </c>
      <c r="E315" s="93">
        <v>100752.1</v>
      </c>
    </row>
    <row r="316" spans="1:5" ht="15.75" hidden="1">
      <c r="A316" s="133" t="s">
        <v>1087</v>
      </c>
      <c r="C316" s="93"/>
      <c r="E316" s="93"/>
    </row>
    <row r="317" spans="1:5" ht="15.75">
      <c r="A317" s="90" t="s">
        <v>117</v>
      </c>
      <c r="E317" s="93">
        <v>2565.67</v>
      </c>
    </row>
    <row r="318" spans="1:5" ht="15.75">
      <c r="A318" s="90" t="s">
        <v>118</v>
      </c>
      <c r="C318" s="93">
        <v>2232.6</v>
      </c>
      <c r="E318" s="93">
        <v>2989</v>
      </c>
    </row>
    <row r="319" spans="1:5" ht="15.75" hidden="1">
      <c r="A319" s="133" t="s">
        <v>684</v>
      </c>
      <c r="C319" s="93"/>
      <c r="E319" s="93">
        <v>0</v>
      </c>
    </row>
    <row r="320" spans="1:5" ht="31.5">
      <c r="A320" s="92" t="s">
        <v>119</v>
      </c>
      <c r="E320" s="93">
        <v>5923.25</v>
      </c>
    </row>
    <row r="321" spans="1:5" ht="15.75">
      <c r="A321" s="90" t="s">
        <v>1197</v>
      </c>
      <c r="C321" s="93">
        <v>917.37</v>
      </c>
      <c r="E321" s="93">
        <v>1186.13</v>
      </c>
    </row>
    <row r="322" spans="1:5" ht="15.75">
      <c r="A322" s="133" t="s">
        <v>202</v>
      </c>
      <c r="C322" s="93"/>
      <c r="E322" s="93">
        <v>44.25</v>
      </c>
    </row>
    <row r="323" spans="1:5" ht="15.75">
      <c r="A323" s="356" t="s">
        <v>11</v>
      </c>
      <c r="C323" s="93"/>
      <c r="E323" s="93">
        <v>2251.66</v>
      </c>
    </row>
    <row r="324" spans="1:5" ht="15.75">
      <c r="A324" s="92" t="s">
        <v>1082</v>
      </c>
      <c r="C324" s="93"/>
      <c r="E324" s="93">
        <v>4904.4</v>
      </c>
    </row>
    <row r="325" spans="1:5" ht="15.75">
      <c r="A325" s="133"/>
      <c r="C325" s="93"/>
      <c r="E325" s="93"/>
    </row>
    <row r="326" spans="1:5" ht="15.75">
      <c r="A326" s="84" t="s">
        <v>654</v>
      </c>
      <c r="C326" s="86">
        <v>22686.03</v>
      </c>
      <c r="E326" s="86">
        <f>SUM(E328:E330)</f>
        <v>13656.09</v>
      </c>
    </row>
    <row r="327" ht="15.75">
      <c r="A327" s="78"/>
    </row>
    <row r="328" spans="1:5" ht="15.75">
      <c r="A328" s="90" t="s">
        <v>120</v>
      </c>
      <c r="C328" s="93">
        <v>16319.5</v>
      </c>
      <c r="E328" s="93">
        <v>11966.2</v>
      </c>
    </row>
    <row r="329" spans="1:5" ht="15.75">
      <c r="A329" s="90" t="s">
        <v>1197</v>
      </c>
      <c r="C329" s="93"/>
      <c r="E329" s="93">
        <v>1689.89</v>
      </c>
    </row>
    <row r="330" spans="1:5" ht="15.75">
      <c r="A330" s="92"/>
      <c r="C330" s="93"/>
      <c r="E330" s="93"/>
    </row>
    <row r="331" spans="1:5" ht="15.75">
      <c r="A331" s="84" t="s">
        <v>655</v>
      </c>
      <c r="C331" s="86">
        <v>27282</v>
      </c>
      <c r="E331" s="86">
        <f>SUM(E333:E336)</f>
        <v>42851.68</v>
      </c>
    </row>
    <row r="332" spans="1:5" ht="15.75">
      <c r="A332" s="84"/>
      <c r="C332" s="86"/>
      <c r="E332" s="86"/>
    </row>
    <row r="333" spans="1:5" ht="31.5" hidden="1">
      <c r="A333" s="92" t="s">
        <v>203</v>
      </c>
      <c r="C333" s="86"/>
      <c r="E333" s="93"/>
    </row>
    <row r="334" spans="1:5" ht="15.75" hidden="1">
      <c r="A334" s="356" t="s">
        <v>204</v>
      </c>
      <c r="C334" s="86"/>
      <c r="E334" s="93"/>
    </row>
    <row r="335" spans="1:5" ht="31.5">
      <c r="A335" s="356" t="s">
        <v>205</v>
      </c>
      <c r="C335" s="86"/>
      <c r="E335" s="93">
        <v>5621.68</v>
      </c>
    </row>
    <row r="336" spans="1:5" ht="31.5">
      <c r="A336" s="92" t="s">
        <v>121</v>
      </c>
      <c r="E336" s="93">
        <v>37230</v>
      </c>
    </row>
    <row r="337" spans="1:5" ht="15.75">
      <c r="A337" s="92"/>
      <c r="E337" s="93"/>
    </row>
    <row r="338" spans="1:5" ht="15.75">
      <c r="A338" s="88" t="s">
        <v>122</v>
      </c>
      <c r="C338" s="89">
        <v>67800</v>
      </c>
      <c r="E338" s="89">
        <f>SUM(E341:E359)</f>
        <v>56092.60999999999</v>
      </c>
    </row>
    <row r="339" ht="15.75">
      <c r="A339" s="78"/>
    </row>
    <row r="340" spans="1:5" ht="15.75">
      <c r="A340" s="78" t="s">
        <v>421</v>
      </c>
      <c r="E340" s="93"/>
    </row>
    <row r="341" spans="1:5" ht="15.75">
      <c r="A341" s="94" t="s">
        <v>23</v>
      </c>
      <c r="E341" s="93">
        <v>6600</v>
      </c>
    </row>
    <row r="342" spans="1:5" ht="31.5">
      <c r="A342" s="94" t="s">
        <v>24</v>
      </c>
      <c r="E342" s="93">
        <v>3921.5</v>
      </c>
    </row>
    <row r="343" spans="1:5" ht="15.75">
      <c r="A343" s="94" t="s">
        <v>25</v>
      </c>
      <c r="E343" s="93">
        <v>1487.65</v>
      </c>
    </row>
    <row r="344" spans="1:5" ht="31.5" hidden="1">
      <c r="A344" s="92" t="s">
        <v>324</v>
      </c>
      <c r="E344" s="93"/>
    </row>
    <row r="345" spans="1:5" ht="15.75">
      <c r="A345" s="94" t="s">
        <v>26</v>
      </c>
      <c r="E345" s="93">
        <v>425</v>
      </c>
    </row>
    <row r="346" spans="1:5" ht="31.5">
      <c r="A346" s="94" t="s">
        <v>27</v>
      </c>
      <c r="E346" s="93">
        <v>1221</v>
      </c>
    </row>
    <row r="347" spans="1:5" ht="15.75">
      <c r="A347" s="94" t="s">
        <v>1088</v>
      </c>
      <c r="E347" s="93">
        <v>2000</v>
      </c>
    </row>
    <row r="348" spans="1:5" ht="15.75">
      <c r="A348" s="94" t="s">
        <v>28</v>
      </c>
      <c r="E348" s="93">
        <v>7642.67</v>
      </c>
    </row>
    <row r="349" spans="1:5" ht="15.75">
      <c r="A349" s="94" t="s">
        <v>29</v>
      </c>
      <c r="E349" s="93">
        <v>5700</v>
      </c>
    </row>
    <row r="350" spans="1:5" ht="15.75" hidden="1">
      <c r="A350" s="94" t="s">
        <v>335</v>
      </c>
      <c r="E350" s="93"/>
    </row>
    <row r="351" spans="1:5" ht="35.25" customHeight="1">
      <c r="A351" s="94" t="s">
        <v>527</v>
      </c>
      <c r="E351" s="93">
        <v>1220</v>
      </c>
    </row>
    <row r="352" spans="1:5" ht="51.75" customHeight="1" hidden="1">
      <c r="A352" s="94" t="s">
        <v>418</v>
      </c>
      <c r="E352" s="93"/>
    </row>
    <row r="353" spans="1:5" ht="15.75">
      <c r="A353" s="94" t="s">
        <v>336</v>
      </c>
      <c r="E353" s="93">
        <v>3599.17</v>
      </c>
    </row>
    <row r="354" spans="1:5" ht="15.75">
      <c r="A354" s="94" t="s">
        <v>30</v>
      </c>
      <c r="E354" s="93">
        <v>5690</v>
      </c>
    </row>
    <row r="355" spans="1:5" ht="31.5">
      <c r="A355" s="94" t="s">
        <v>419</v>
      </c>
      <c r="E355" s="93">
        <f>1471.82+6774.01+2598+2804.52</f>
        <v>13648.35</v>
      </c>
    </row>
    <row r="356" spans="1:5" ht="15.75">
      <c r="A356" s="78" t="s">
        <v>31</v>
      </c>
      <c r="E356" s="93"/>
    </row>
    <row r="357" spans="1:5" ht="31.5">
      <c r="A357" s="356" t="s">
        <v>60</v>
      </c>
      <c r="E357" s="93">
        <v>2737.27</v>
      </c>
    </row>
    <row r="358" spans="1:5" ht="15.75">
      <c r="A358" s="356" t="s">
        <v>61</v>
      </c>
      <c r="E358" s="93">
        <v>200</v>
      </c>
    </row>
    <row r="359" spans="1:5" ht="15.75">
      <c r="A359" s="356" t="s">
        <v>420</v>
      </c>
      <c r="E359" s="93"/>
    </row>
    <row r="361" spans="1:5" ht="15.75">
      <c r="A361" s="88" t="s">
        <v>337</v>
      </c>
      <c r="C361" s="89">
        <v>1545049.14</v>
      </c>
      <c r="E361" s="89">
        <f>E363+E386+E392+E404+E407+E434+E428+E401</f>
        <v>1266873.49</v>
      </c>
    </row>
    <row r="362" ht="15.75">
      <c r="A362" s="78"/>
    </row>
    <row r="363" spans="1:5" ht="15.75">
      <c r="A363" s="78" t="s">
        <v>338</v>
      </c>
      <c r="C363" s="93">
        <v>640921.78</v>
      </c>
      <c r="E363" s="86">
        <f>SUM(E365:E384)</f>
        <v>836276.13</v>
      </c>
    </row>
    <row r="364" ht="15.75">
      <c r="A364" s="78" t="s">
        <v>1080</v>
      </c>
    </row>
    <row r="365" spans="1:5" ht="15.75">
      <c r="A365" s="92" t="s">
        <v>32</v>
      </c>
      <c r="C365" s="93">
        <v>155804</v>
      </c>
      <c r="E365" s="93">
        <v>292456</v>
      </c>
    </row>
    <row r="366" ht="15.75">
      <c r="A366" s="92" t="s">
        <v>339</v>
      </c>
    </row>
    <row r="367" spans="1:5" ht="15.75">
      <c r="A367" s="102" t="s">
        <v>33</v>
      </c>
      <c r="C367" s="93">
        <v>6000</v>
      </c>
      <c r="E367" s="93">
        <v>26000</v>
      </c>
    </row>
    <row r="368" spans="1:5" ht="31.5">
      <c r="A368" s="102" t="s">
        <v>34</v>
      </c>
      <c r="E368" s="93">
        <v>88110.6</v>
      </c>
    </row>
    <row r="369" spans="1:5" ht="15.75">
      <c r="A369" s="102" t="s">
        <v>35</v>
      </c>
      <c r="E369" s="93">
        <v>40150</v>
      </c>
    </row>
    <row r="370" spans="1:5" ht="31.5" hidden="1">
      <c r="A370" s="102" t="s">
        <v>422</v>
      </c>
      <c r="C370" s="86">
        <v>214038</v>
      </c>
      <c r="E370" s="93"/>
    </row>
    <row r="371" spans="1:5" ht="31.5" hidden="1">
      <c r="A371" s="102" t="s">
        <v>660</v>
      </c>
      <c r="C371" s="86">
        <v>214038</v>
      </c>
      <c r="E371" s="93">
        <v>0</v>
      </c>
    </row>
    <row r="372" spans="1:5" ht="31.5">
      <c r="A372" s="102" t="s">
        <v>36</v>
      </c>
      <c r="E372" s="93">
        <v>3000</v>
      </c>
    </row>
    <row r="373" spans="1:5" ht="31.5">
      <c r="A373" s="102" t="s">
        <v>37</v>
      </c>
      <c r="E373" s="93">
        <v>15840</v>
      </c>
    </row>
    <row r="374" spans="1:5" ht="15.75">
      <c r="A374" s="94" t="s">
        <v>38</v>
      </c>
      <c r="E374" s="93">
        <v>100</v>
      </c>
    </row>
    <row r="375" spans="1:5" ht="31.5">
      <c r="A375" s="102" t="s">
        <v>39</v>
      </c>
      <c r="E375" s="93">
        <v>4860</v>
      </c>
    </row>
    <row r="376" spans="1:5" ht="31.5">
      <c r="A376" s="102" t="s">
        <v>40</v>
      </c>
      <c r="E376" s="93">
        <v>34250</v>
      </c>
    </row>
    <row r="377" spans="1:5" ht="15.75">
      <c r="A377" s="94" t="s">
        <v>41</v>
      </c>
      <c r="E377" s="93">
        <v>64000</v>
      </c>
    </row>
    <row r="378" spans="1:11" s="82" customFormat="1" ht="15.75">
      <c r="A378" s="92" t="s">
        <v>340</v>
      </c>
      <c r="B378" s="18"/>
      <c r="C378" s="86">
        <v>11053.88</v>
      </c>
      <c r="D378" s="18"/>
      <c r="E378" s="93">
        <v>7258.68</v>
      </c>
      <c r="F378" s="93"/>
      <c r="G378" s="103"/>
      <c r="H378" s="103"/>
      <c r="I378" s="103"/>
      <c r="J378" s="103"/>
      <c r="K378" s="103"/>
    </row>
    <row r="379" spans="1:5" ht="15.75">
      <c r="A379" s="92" t="s">
        <v>42</v>
      </c>
      <c r="C379" s="93">
        <v>28800</v>
      </c>
      <c r="E379" s="93">
        <v>105723</v>
      </c>
    </row>
    <row r="380" spans="1:5" ht="15.75">
      <c r="A380" s="98" t="s">
        <v>43</v>
      </c>
      <c r="C380" s="86">
        <v>41972</v>
      </c>
      <c r="E380" s="93">
        <v>35280</v>
      </c>
    </row>
    <row r="381" spans="1:5" ht="15.75">
      <c r="A381" s="98" t="s">
        <v>44</v>
      </c>
      <c r="C381" s="86"/>
      <c r="E381" s="93">
        <v>49000</v>
      </c>
    </row>
    <row r="382" spans="1:5" ht="15.75">
      <c r="A382" s="98" t="s">
        <v>45</v>
      </c>
      <c r="C382" s="86">
        <v>41972</v>
      </c>
      <c r="E382" s="93">
        <v>42087.36</v>
      </c>
    </row>
    <row r="383" spans="1:5" ht="31.5">
      <c r="A383" s="98" t="s">
        <v>341</v>
      </c>
      <c r="E383" s="93">
        <f>17320.05+2647.02+538.02+4643.4+230+60.4</f>
        <v>25438.89</v>
      </c>
    </row>
    <row r="384" spans="1:5" ht="15.75">
      <c r="A384" s="92" t="s">
        <v>342</v>
      </c>
      <c r="C384" s="86"/>
      <c r="E384" s="93">
        <v>2721.6</v>
      </c>
    </row>
    <row r="385" spans="1:5" ht="15.75">
      <c r="A385" s="92"/>
      <c r="C385" s="86"/>
      <c r="E385" s="357"/>
    </row>
    <row r="386" spans="1:5" ht="15.75">
      <c r="A386" s="84" t="s">
        <v>343</v>
      </c>
      <c r="C386" s="86"/>
      <c r="E386" s="86">
        <f>SUM(E388:E390)</f>
        <v>27454.63</v>
      </c>
    </row>
    <row r="387" spans="1:5" ht="15.75">
      <c r="A387" s="785" t="s">
        <v>46</v>
      </c>
      <c r="B387" s="785"/>
      <c r="C387" s="785"/>
      <c r="D387" s="785"/>
      <c r="E387" s="785"/>
    </row>
    <row r="388" spans="1:5" ht="15.75">
      <c r="A388" s="92" t="s">
        <v>47</v>
      </c>
      <c r="C388" s="93">
        <v>15838.49</v>
      </c>
      <c r="E388" s="93">
        <v>17925.93</v>
      </c>
    </row>
    <row r="389" spans="1:5" ht="15.75">
      <c r="A389" s="92" t="s">
        <v>48</v>
      </c>
      <c r="C389" s="93">
        <v>12877</v>
      </c>
      <c r="E389" s="93">
        <v>8081.57</v>
      </c>
    </row>
    <row r="390" spans="1:5" ht="15.75">
      <c r="A390" s="92" t="s">
        <v>49</v>
      </c>
      <c r="C390" s="93">
        <v>2234.55</v>
      </c>
      <c r="E390" s="93">
        <v>1447.13</v>
      </c>
    </row>
    <row r="391" ht="15.75">
      <c r="A391" s="78"/>
    </row>
    <row r="392" spans="1:5" ht="15.75">
      <c r="A392" s="84" t="s">
        <v>659</v>
      </c>
      <c r="C392" s="93">
        <v>211050</v>
      </c>
      <c r="E392" s="86">
        <f>SUM(E394:E400)</f>
        <v>34855.18</v>
      </c>
    </row>
    <row r="393" ht="15.75">
      <c r="A393" s="78" t="s">
        <v>50</v>
      </c>
    </row>
    <row r="394" spans="1:5" ht="15.75">
      <c r="A394" s="90" t="s">
        <v>344</v>
      </c>
      <c r="C394" s="93">
        <v>21197.25</v>
      </c>
      <c r="E394" s="93">
        <v>1119.43</v>
      </c>
    </row>
    <row r="395" spans="1:5" ht="15.75">
      <c r="A395" s="92" t="s">
        <v>345</v>
      </c>
      <c r="C395" s="93"/>
      <c r="E395" s="93">
        <v>1540</v>
      </c>
    </row>
    <row r="396" spans="1:5" ht="15.75">
      <c r="A396" s="92" t="s">
        <v>346</v>
      </c>
      <c r="C396" s="93">
        <v>45677.02</v>
      </c>
      <c r="E396" s="93">
        <v>4737.01</v>
      </c>
    </row>
    <row r="397" spans="1:5" ht="15.75">
      <c r="A397" s="92" t="s">
        <v>347</v>
      </c>
      <c r="C397" s="93">
        <v>45677.02</v>
      </c>
      <c r="E397" s="93">
        <v>2490</v>
      </c>
    </row>
    <row r="398" spans="1:5" ht="15.75">
      <c r="A398" s="92" t="s">
        <v>348</v>
      </c>
      <c r="C398" s="93">
        <v>21197.25</v>
      </c>
      <c r="E398" s="93">
        <v>8568.25</v>
      </c>
    </row>
    <row r="399" spans="1:5" ht="15.75">
      <c r="A399" s="92" t="s">
        <v>1089</v>
      </c>
      <c r="C399" s="93">
        <v>21197.25</v>
      </c>
      <c r="E399" s="93">
        <v>860</v>
      </c>
    </row>
    <row r="400" spans="1:5" ht="15.75">
      <c r="A400" s="104" t="s">
        <v>51</v>
      </c>
      <c r="C400" s="93">
        <v>44543.76</v>
      </c>
      <c r="E400" s="93">
        <v>15540.49</v>
      </c>
    </row>
    <row r="401" spans="1:5" ht="15.75">
      <c r="A401" s="17" t="s">
        <v>52</v>
      </c>
      <c r="C401" s="93"/>
      <c r="E401" s="86">
        <v>38718.44</v>
      </c>
    </row>
    <row r="402" spans="1:5" ht="31.5">
      <c r="A402" s="17" t="s">
        <v>53</v>
      </c>
      <c r="C402" s="93"/>
      <c r="E402" s="93"/>
    </row>
    <row r="403" spans="1:5" ht="15.75">
      <c r="A403" s="17"/>
      <c r="C403" s="93"/>
      <c r="E403" s="93"/>
    </row>
    <row r="404" spans="1:5" ht="15.75">
      <c r="A404" s="84" t="s">
        <v>658</v>
      </c>
      <c r="C404" s="86">
        <v>251139</v>
      </c>
      <c r="E404" s="86">
        <f>E405</f>
        <v>68890.08</v>
      </c>
    </row>
    <row r="405" spans="1:5" ht="15.75">
      <c r="A405" s="90" t="s">
        <v>54</v>
      </c>
      <c r="E405" s="93">
        <v>68890.08</v>
      </c>
    </row>
    <row r="406" spans="1:5" ht="15.75">
      <c r="A406" s="84"/>
      <c r="E406" s="103"/>
    </row>
    <row r="407" spans="1:5" ht="15.75">
      <c r="A407" s="84" t="s">
        <v>656</v>
      </c>
      <c r="C407" s="86">
        <v>156096.3</v>
      </c>
      <c r="E407" s="86">
        <f>SUM(E408:E432)</f>
        <v>225402.35000000003</v>
      </c>
    </row>
    <row r="408" spans="1:5" ht="15.75">
      <c r="A408" s="90" t="s">
        <v>1171</v>
      </c>
      <c r="C408" s="93">
        <v>204.17</v>
      </c>
      <c r="E408" s="93">
        <v>601.2</v>
      </c>
    </row>
    <row r="409" spans="1:5" ht="15.75">
      <c r="A409" s="90" t="s">
        <v>1172</v>
      </c>
      <c r="C409" s="93">
        <v>86127.19</v>
      </c>
      <c r="E409" s="93">
        <v>135948.64</v>
      </c>
    </row>
    <row r="410" spans="1:5" ht="15.75">
      <c r="A410" s="90" t="s">
        <v>1173</v>
      </c>
      <c r="C410" s="93">
        <v>13390</v>
      </c>
      <c r="E410" s="93">
        <v>19485.23</v>
      </c>
    </row>
    <row r="411" spans="1:5" ht="15.75">
      <c r="A411" s="90" t="s">
        <v>1174</v>
      </c>
      <c r="C411" s="93">
        <v>18645.74</v>
      </c>
      <c r="E411" s="93">
        <v>24671.88</v>
      </c>
    </row>
    <row r="412" spans="1:5" ht="15.75">
      <c r="A412" s="90" t="s">
        <v>1175</v>
      </c>
      <c r="C412" s="93">
        <v>2504.04</v>
      </c>
      <c r="E412" s="93">
        <v>3669.71</v>
      </c>
    </row>
    <row r="413" spans="1:5" ht="15.75">
      <c r="A413" s="92" t="s">
        <v>1176</v>
      </c>
      <c r="C413" s="93">
        <v>9350.43</v>
      </c>
      <c r="E413" s="93">
        <v>3393.63</v>
      </c>
    </row>
    <row r="414" spans="1:5" ht="15.75">
      <c r="A414" s="90" t="s">
        <v>1177</v>
      </c>
      <c r="C414" s="93">
        <v>9350.43</v>
      </c>
      <c r="E414" s="93">
        <v>2861.04</v>
      </c>
    </row>
    <row r="415" spans="1:5" ht="15.75">
      <c r="A415" s="90" t="s">
        <v>1178</v>
      </c>
      <c r="C415" s="93">
        <v>2991.71</v>
      </c>
      <c r="E415" s="93">
        <v>4980.05</v>
      </c>
    </row>
    <row r="416" spans="1:5" ht="15.75">
      <c r="A416" s="90" t="s">
        <v>1179</v>
      </c>
      <c r="C416" s="93">
        <v>14960.33</v>
      </c>
      <c r="E416" s="818">
        <v>4783.2</v>
      </c>
    </row>
    <row r="417" spans="1:5" ht="31.5">
      <c r="A417" s="102" t="s">
        <v>55</v>
      </c>
      <c r="E417" s="818"/>
    </row>
    <row r="418" spans="1:5" ht="15.75">
      <c r="A418" s="90" t="s">
        <v>1180</v>
      </c>
      <c r="C418" s="93">
        <v>649.6</v>
      </c>
      <c r="E418" s="93">
        <v>1452.41</v>
      </c>
    </row>
    <row r="419" spans="1:5" ht="15.75">
      <c r="A419" s="92" t="s">
        <v>1090</v>
      </c>
      <c r="C419" s="93">
        <v>649.6</v>
      </c>
      <c r="E419" s="93">
        <v>93</v>
      </c>
    </row>
    <row r="420" spans="1:5" ht="15.75">
      <c r="A420" s="92" t="s">
        <v>1091</v>
      </c>
      <c r="C420" s="93"/>
      <c r="E420" s="93">
        <v>396</v>
      </c>
    </row>
    <row r="421" spans="1:5" ht="15.75">
      <c r="A421" s="92" t="s">
        <v>56</v>
      </c>
      <c r="C421" s="93"/>
      <c r="E421" s="93">
        <v>3496.02</v>
      </c>
    </row>
    <row r="422" spans="1:5" ht="15.75">
      <c r="A422" s="92" t="s">
        <v>524</v>
      </c>
      <c r="C422" s="93"/>
      <c r="E422" s="93">
        <v>375.61</v>
      </c>
    </row>
    <row r="423" spans="1:5" ht="15.75">
      <c r="A423" s="92" t="s">
        <v>1092</v>
      </c>
      <c r="C423" s="93"/>
      <c r="E423" s="93">
        <v>4402.26</v>
      </c>
    </row>
    <row r="424" spans="1:5" ht="15.75">
      <c r="A424" s="92" t="s">
        <v>1093</v>
      </c>
      <c r="C424" s="93"/>
      <c r="E424" s="93">
        <v>2100.24</v>
      </c>
    </row>
    <row r="425" spans="1:5" ht="15.75">
      <c r="A425" s="90" t="s">
        <v>1181</v>
      </c>
      <c r="C425" s="93">
        <v>5273.09</v>
      </c>
      <c r="E425" s="93">
        <v>5670.73</v>
      </c>
    </row>
    <row r="426" spans="1:5" ht="15.75">
      <c r="A426" s="90" t="s">
        <v>369</v>
      </c>
      <c r="C426" s="93">
        <v>2000</v>
      </c>
      <c r="E426" s="93">
        <v>6000</v>
      </c>
    </row>
    <row r="427" spans="1:5" ht="15.75">
      <c r="A427" s="92" t="s">
        <v>523</v>
      </c>
      <c r="E427" s="93">
        <v>26.5</v>
      </c>
    </row>
    <row r="428" spans="1:5" ht="15.75" hidden="1">
      <c r="A428" s="84" t="s">
        <v>370</v>
      </c>
      <c r="E428" s="87"/>
    </row>
    <row r="429" spans="1:5" ht="15.75" hidden="1">
      <c r="A429" s="78" t="s">
        <v>371</v>
      </c>
      <c r="E429" s="93"/>
    </row>
    <row r="430" ht="15.75" hidden="1">
      <c r="A430" s="78"/>
    </row>
    <row r="431" spans="1:5" ht="15.75">
      <c r="A431" s="92" t="s">
        <v>302</v>
      </c>
      <c r="E431" s="93">
        <v>995</v>
      </c>
    </row>
    <row r="432" spans="1:5" ht="15.75">
      <c r="A432" s="92" t="s">
        <v>525</v>
      </c>
      <c r="E432" s="93"/>
    </row>
    <row r="433" ht="15.75">
      <c r="A433" s="78"/>
    </row>
    <row r="434" spans="1:5" ht="15.75">
      <c r="A434" s="84" t="s">
        <v>657</v>
      </c>
      <c r="C434" s="86">
        <v>9128.15</v>
      </c>
      <c r="E434" s="86">
        <f>E438+E439+E440+E436</f>
        <v>35276.68</v>
      </c>
    </row>
    <row r="435" spans="1:5" ht="15.75">
      <c r="A435" s="84" t="s">
        <v>1094</v>
      </c>
      <c r="C435" s="86"/>
      <c r="E435" s="86"/>
    </row>
    <row r="436" spans="1:5" ht="15.75">
      <c r="A436" s="78" t="s">
        <v>57</v>
      </c>
      <c r="C436" s="86"/>
      <c r="E436" s="93">
        <v>7500</v>
      </c>
    </row>
    <row r="437" spans="1:5" ht="15.75">
      <c r="A437" s="78" t="s">
        <v>58</v>
      </c>
      <c r="C437" s="86"/>
      <c r="E437" s="86"/>
    </row>
    <row r="438" spans="1:5" ht="15.75">
      <c r="A438" s="92" t="s">
        <v>372</v>
      </c>
      <c r="E438" s="93">
        <v>13399.68</v>
      </c>
    </row>
    <row r="439" spans="1:5" ht="15.75">
      <c r="A439" s="92" t="s">
        <v>373</v>
      </c>
      <c r="E439" s="93">
        <v>14377</v>
      </c>
    </row>
    <row r="440" spans="1:5" ht="15.75">
      <c r="A440" s="92"/>
      <c r="E440" s="93"/>
    </row>
    <row r="441" spans="1:5" ht="15.75">
      <c r="A441" s="88" t="s">
        <v>374</v>
      </c>
      <c r="C441" s="89">
        <v>456900</v>
      </c>
      <c r="E441" s="89">
        <f>SUM(E443:E446)</f>
        <v>15781.83</v>
      </c>
    </row>
    <row r="442" ht="15.75">
      <c r="A442" s="78" t="s">
        <v>423</v>
      </c>
    </row>
    <row r="443" spans="1:5" ht="31.5">
      <c r="A443" s="105" t="s">
        <v>59</v>
      </c>
      <c r="E443" s="93">
        <v>15781.83</v>
      </c>
    </row>
    <row r="444" spans="1:5" ht="15.75" hidden="1">
      <c r="A444" s="105" t="s">
        <v>1095</v>
      </c>
      <c r="E444" s="93"/>
    </row>
    <row r="445" spans="1:5" ht="31.5" hidden="1">
      <c r="A445" s="78" t="s">
        <v>424</v>
      </c>
      <c r="E445" s="93"/>
    </row>
    <row r="446" spans="1:5" ht="15.75" hidden="1">
      <c r="A446" s="78" t="s">
        <v>425</v>
      </c>
      <c r="E446" s="93"/>
    </row>
    <row r="447" ht="15.75">
      <c r="A447" s="78"/>
    </row>
    <row r="448" spans="1:5" ht="31.5">
      <c r="A448" s="16" t="s">
        <v>375</v>
      </c>
      <c r="C448" s="89">
        <v>399581.73</v>
      </c>
      <c r="E448" s="89">
        <f>SUM(E451:E459)</f>
        <v>199520.94999999998</v>
      </c>
    </row>
    <row r="449" spans="1:5" ht="15.75">
      <c r="A449" s="16"/>
      <c r="C449" s="89"/>
      <c r="E449" s="89"/>
    </row>
    <row r="450" ht="20.25" customHeight="1">
      <c r="A450" s="78" t="s">
        <v>1080</v>
      </c>
    </row>
    <row r="451" spans="1:5" ht="15.75">
      <c r="A451" s="92" t="s">
        <v>376</v>
      </c>
      <c r="C451" s="86">
        <v>196591.14</v>
      </c>
      <c r="E451" s="93">
        <v>165712.28</v>
      </c>
    </row>
    <row r="452" spans="1:11" s="95" customFormat="1" ht="15.75" hidden="1">
      <c r="A452" s="92" t="s">
        <v>1096</v>
      </c>
      <c r="C452" s="86">
        <v>196591.14</v>
      </c>
      <c r="E452" s="93"/>
      <c r="F452" s="93"/>
      <c r="G452" s="93"/>
      <c r="H452" s="93"/>
      <c r="I452" s="93"/>
      <c r="J452" s="93"/>
      <c r="K452" s="93"/>
    </row>
    <row r="453" spans="1:11" s="95" customFormat="1" ht="15.75" hidden="1">
      <c r="A453" s="92" t="s">
        <v>426</v>
      </c>
      <c r="C453" s="86"/>
      <c r="E453" s="93"/>
      <c r="F453" s="93"/>
      <c r="G453" s="93"/>
      <c r="H453" s="93"/>
      <c r="I453" s="93"/>
      <c r="J453" s="93"/>
      <c r="K453" s="93"/>
    </row>
    <row r="454" spans="1:11" s="95" customFormat="1" ht="15.75" hidden="1">
      <c r="A454" s="92" t="s">
        <v>1097</v>
      </c>
      <c r="C454" s="86"/>
      <c r="E454" s="93"/>
      <c r="F454" s="93"/>
      <c r="G454" s="93"/>
      <c r="H454" s="93"/>
      <c r="I454" s="93"/>
      <c r="J454" s="93"/>
      <c r="K454" s="93"/>
    </row>
    <row r="455" spans="1:11" s="95" customFormat="1" ht="15.75" hidden="1">
      <c r="A455" s="92" t="s">
        <v>1098</v>
      </c>
      <c r="C455" s="86"/>
      <c r="E455" s="93"/>
      <c r="F455" s="93"/>
      <c r="G455" s="93"/>
      <c r="H455" s="93"/>
      <c r="I455" s="93"/>
      <c r="J455" s="93"/>
      <c r="K455" s="93"/>
    </row>
    <row r="456" spans="1:5" ht="15.75">
      <c r="A456" s="90" t="s">
        <v>377</v>
      </c>
      <c r="C456" s="93">
        <v>10188.98</v>
      </c>
      <c r="E456" s="93">
        <v>9000</v>
      </c>
    </row>
    <row r="457" spans="1:5" ht="15.75">
      <c r="A457" s="90" t="s">
        <v>378</v>
      </c>
      <c r="C457" s="93">
        <v>3810.89</v>
      </c>
      <c r="E457" s="93">
        <f>8409.75+1854.92+20.98+298.88+140.98+663.14+150+402.6+283.8+485.68+117.1</f>
        <v>12827.829999999998</v>
      </c>
    </row>
    <row r="458" spans="1:5" ht="15.75">
      <c r="A458" s="92" t="s">
        <v>1099</v>
      </c>
      <c r="C458" s="93">
        <v>3810.89</v>
      </c>
      <c r="E458" s="93">
        <f>5134.07+4470.25+2376.52</f>
        <v>11980.84</v>
      </c>
    </row>
    <row r="459" spans="1:5" ht="15.75" hidden="1">
      <c r="A459" s="92" t="s">
        <v>1100</v>
      </c>
      <c r="C459" s="93"/>
      <c r="E459" s="93"/>
    </row>
    <row r="460" spans="1:5" ht="15.75">
      <c r="A460" s="92"/>
      <c r="C460" s="93"/>
      <c r="E460" s="93"/>
    </row>
    <row r="461" spans="1:5" ht="15.75">
      <c r="A461" s="88" t="s">
        <v>379</v>
      </c>
      <c r="C461" s="89">
        <v>456900</v>
      </c>
      <c r="E461" s="89">
        <f>SUM(E464:E465)</f>
        <v>276200</v>
      </c>
    </row>
    <row r="462" spans="1:5" ht="15.75">
      <c r="A462" s="88"/>
      <c r="C462" s="89"/>
      <c r="E462" s="89"/>
    </row>
    <row r="463" ht="15.75">
      <c r="A463" s="78" t="s">
        <v>380</v>
      </c>
    </row>
    <row r="464" spans="1:5" ht="15.75">
      <c r="A464" s="92" t="s">
        <v>381</v>
      </c>
      <c r="C464" s="86">
        <v>176500</v>
      </c>
      <c r="E464" s="93">
        <v>128200</v>
      </c>
    </row>
    <row r="465" spans="1:5" ht="15.75">
      <c r="A465" s="92" t="s">
        <v>128</v>
      </c>
      <c r="C465" s="86">
        <v>280400</v>
      </c>
      <c r="E465" s="93">
        <v>148000</v>
      </c>
    </row>
    <row r="466" ht="15.75">
      <c r="A466" s="84"/>
    </row>
    <row r="467" spans="1:5" ht="15.75">
      <c r="A467" s="88" t="s">
        <v>129</v>
      </c>
      <c r="C467" s="89">
        <v>98509.61</v>
      </c>
      <c r="E467" s="89">
        <f>SUM(E470:E481)</f>
        <v>72874.64</v>
      </c>
    </row>
    <row r="468" spans="1:5" ht="15.75">
      <c r="A468" s="88"/>
      <c r="C468" s="89"/>
      <c r="E468" s="89"/>
    </row>
    <row r="469" ht="15.75">
      <c r="A469" s="78" t="s">
        <v>1080</v>
      </c>
    </row>
    <row r="470" spans="1:5" ht="31.5" hidden="1">
      <c r="A470" s="92" t="s">
        <v>130</v>
      </c>
      <c r="C470" s="93">
        <v>26525.91</v>
      </c>
      <c r="E470" s="93"/>
    </row>
    <row r="471" spans="1:5" ht="31.5">
      <c r="A471" s="92" t="s">
        <v>398</v>
      </c>
      <c r="C471" s="93">
        <v>26525.91</v>
      </c>
      <c r="E471" s="93">
        <v>16500</v>
      </c>
    </row>
    <row r="472" spans="1:5" ht="15.75">
      <c r="A472" s="90" t="s">
        <v>131</v>
      </c>
      <c r="C472" s="93">
        <v>4291.18</v>
      </c>
      <c r="E472" s="93">
        <v>4134.49</v>
      </c>
    </row>
    <row r="473" spans="1:5" ht="15.75" hidden="1">
      <c r="A473" s="92" t="s">
        <v>726</v>
      </c>
      <c r="C473" s="93">
        <v>2037.5</v>
      </c>
      <c r="E473" s="93"/>
    </row>
    <row r="474" spans="1:5" ht="15.75">
      <c r="A474" s="92" t="s">
        <v>132</v>
      </c>
      <c r="C474" s="93">
        <v>7117.8</v>
      </c>
      <c r="E474" s="93">
        <f>501.94+245.63+102.48+160.19+299.03+79.92+1440.24+150</f>
        <v>2979.4300000000003</v>
      </c>
    </row>
    <row r="475" spans="1:5" ht="15.75">
      <c r="A475" s="92" t="s">
        <v>395</v>
      </c>
      <c r="C475" s="93"/>
      <c r="E475" s="93">
        <f>8190+1123.62+5132.78</f>
        <v>14446.399999999998</v>
      </c>
    </row>
    <row r="476" spans="1:5" ht="33" customHeight="1">
      <c r="A476" s="92" t="s">
        <v>396</v>
      </c>
      <c r="C476" s="93"/>
      <c r="E476" s="93">
        <v>976</v>
      </c>
    </row>
    <row r="477" spans="1:5" ht="15.75">
      <c r="A477" s="92" t="s">
        <v>397</v>
      </c>
      <c r="C477" s="93">
        <v>2883.21</v>
      </c>
      <c r="E477" s="93">
        <f>1003.15+712.25</f>
        <v>1715.4</v>
      </c>
    </row>
    <row r="478" spans="1:5" ht="15.75">
      <c r="A478" s="92" t="s">
        <v>427</v>
      </c>
      <c r="C478" s="93"/>
      <c r="E478" s="93">
        <f>2562</f>
        <v>2562</v>
      </c>
    </row>
    <row r="479" spans="1:5" ht="15.75">
      <c r="A479" s="92" t="s">
        <v>62</v>
      </c>
      <c r="C479" s="93"/>
      <c r="E479" s="93">
        <v>12450</v>
      </c>
    </row>
    <row r="480" spans="1:5" ht="15.75">
      <c r="A480" s="90" t="s">
        <v>133</v>
      </c>
      <c r="C480" s="93">
        <v>43678.61</v>
      </c>
      <c r="E480" s="93">
        <f>142.89+34.01+200.36+312+250+4600+220+427.5+66.7+434.76+75.6+200+240+190.46+566.59+300+465+300+244+112.86+68.4+335+990+400+369.93+348.72+106.44+324+319.93+204+100</f>
        <v>12949.150000000001</v>
      </c>
    </row>
    <row r="481" spans="1:5" ht="31.5">
      <c r="A481" s="92" t="s">
        <v>134</v>
      </c>
      <c r="E481" s="93">
        <f>70.1+119.93+327.79+1524.74+199.88+121.55+49.01+100.6+35.31+35.31+750.98+51.9+774.67</f>
        <v>4161.77</v>
      </c>
    </row>
    <row r="482" spans="1:3" ht="15.75">
      <c r="A482" s="17"/>
      <c r="C482" s="86">
        <v>11507.5</v>
      </c>
    </row>
    <row r="483" ht="15.75">
      <c r="A483" s="17"/>
    </row>
    <row r="484" ht="15.75">
      <c r="A484" s="78"/>
    </row>
    <row r="485" ht="15.75">
      <c r="A485" s="106"/>
    </row>
    <row r="486" ht="15.75">
      <c r="A486" s="106"/>
    </row>
    <row r="487" ht="15.75">
      <c r="A487" s="106"/>
    </row>
    <row r="488" ht="15.75">
      <c r="A488" s="106"/>
    </row>
    <row r="489" ht="15.75">
      <c r="A489" s="106"/>
    </row>
    <row r="490" ht="15.75">
      <c r="A490" s="106"/>
    </row>
    <row r="491" ht="15.75">
      <c r="A491" s="106"/>
    </row>
    <row r="492" ht="15.75">
      <c r="A492" s="106"/>
    </row>
    <row r="493" ht="15.75">
      <c r="A493" s="106"/>
    </row>
    <row r="494" ht="15.75">
      <c r="A494" s="106"/>
    </row>
    <row r="495" ht="15.75">
      <c r="A495" s="106"/>
    </row>
    <row r="496" ht="15.75">
      <c r="A496" s="106"/>
    </row>
    <row r="497" ht="15.75">
      <c r="A497" s="106"/>
    </row>
    <row r="498" ht="15.75">
      <c r="A498" s="106"/>
    </row>
    <row r="499" ht="15.75">
      <c r="A499" s="106"/>
    </row>
    <row r="500" ht="15.75">
      <c r="A500" s="106"/>
    </row>
    <row r="501" ht="15.75">
      <c r="A501" s="106"/>
    </row>
    <row r="502" ht="15.75">
      <c r="A502" s="106"/>
    </row>
    <row r="503" ht="15.75">
      <c r="A503" s="106"/>
    </row>
    <row r="504" ht="15.75">
      <c r="A504" s="106"/>
    </row>
    <row r="505" ht="15.75">
      <c r="A505" s="106"/>
    </row>
    <row r="506" spans="1:5" ht="18.75">
      <c r="A506" s="816"/>
      <c r="B506" s="816"/>
      <c r="C506" s="816"/>
      <c r="D506" s="816"/>
      <c r="E506" s="816"/>
    </row>
    <row r="507" spans="1:5" ht="18.75">
      <c r="A507" s="816"/>
      <c r="B507" s="816"/>
      <c r="C507" s="816"/>
      <c r="D507" s="816"/>
      <c r="E507" s="816"/>
    </row>
    <row r="508" spans="1:5" ht="18.75">
      <c r="A508" s="816"/>
      <c r="B508" s="816"/>
      <c r="C508" s="816"/>
      <c r="D508" s="816"/>
      <c r="E508" s="816"/>
    </row>
    <row r="509" ht="15.75">
      <c r="A509" s="78"/>
    </row>
    <row r="510" ht="15.75">
      <c r="A510" s="78"/>
    </row>
    <row r="511" ht="15.75">
      <c r="A511" s="78"/>
    </row>
    <row r="512" spans="1:10" ht="15.75">
      <c r="A512" s="88"/>
      <c r="E512" s="89"/>
      <c r="J512" s="89"/>
    </row>
    <row r="513" spans="1:5" ht="15.75">
      <c r="A513" s="78"/>
      <c r="E513" s="93"/>
    </row>
    <row r="514" spans="1:5" ht="15.75">
      <c r="A514" s="17"/>
      <c r="E514" s="93"/>
    </row>
    <row r="515" spans="1:6" ht="15.75">
      <c r="A515" s="17"/>
      <c r="E515" s="93"/>
      <c r="F515" s="108"/>
    </row>
    <row r="516" spans="1:9" ht="15.75">
      <c r="A516" s="17"/>
      <c r="E516" s="93"/>
      <c r="I516" s="108"/>
    </row>
    <row r="517" spans="1:5" ht="15.75">
      <c r="A517" s="78"/>
      <c r="E517" s="93"/>
    </row>
    <row r="518" spans="1:11" ht="15.75">
      <c r="A518" s="88"/>
      <c r="E518" s="89"/>
      <c r="K518" s="89"/>
    </row>
    <row r="519" spans="1:5" ht="15.75">
      <c r="A519" s="78"/>
      <c r="E519" s="93"/>
    </row>
    <row r="520" spans="1:5" ht="15.75">
      <c r="A520" s="78"/>
      <c r="E520" s="93"/>
    </row>
    <row r="521" spans="1:9" ht="15.75">
      <c r="A521" s="17"/>
      <c r="E521" s="93"/>
      <c r="I521" s="108"/>
    </row>
    <row r="522" spans="1:6" ht="15.75">
      <c r="A522" s="17"/>
      <c r="E522" s="93"/>
      <c r="F522" s="108"/>
    </row>
    <row r="523" spans="1:5" ht="15.75">
      <c r="A523" s="17"/>
      <c r="E523" s="93"/>
    </row>
    <row r="524" spans="1:8" ht="15.75">
      <c r="A524" s="17"/>
      <c r="E524" s="93"/>
      <c r="H524" s="108"/>
    </row>
    <row r="525" spans="1:9" ht="15.75">
      <c r="A525" s="17"/>
      <c r="E525" s="93"/>
      <c r="I525" s="108"/>
    </row>
    <row r="526" spans="1:5" ht="15.75">
      <c r="A526" s="17"/>
      <c r="E526" s="93"/>
    </row>
    <row r="527" spans="1:5" ht="15.75">
      <c r="A527" s="17"/>
      <c r="C527" s="93"/>
      <c r="E527" s="93"/>
    </row>
    <row r="528" ht="15.75">
      <c r="A528" s="17"/>
    </row>
    <row r="529" ht="15.75">
      <c r="A529" s="78"/>
    </row>
    <row r="530" ht="15.75">
      <c r="A530" s="78"/>
    </row>
    <row r="531" ht="15.75">
      <c r="A531" s="78"/>
    </row>
    <row r="532" ht="15.75">
      <c r="A532" s="78"/>
    </row>
    <row r="533" ht="15.75">
      <c r="A533" s="78"/>
    </row>
    <row r="534" ht="15.75">
      <c r="A534" s="78"/>
    </row>
    <row r="535" ht="15.75">
      <c r="A535" s="78"/>
    </row>
    <row r="536" ht="15.75">
      <c r="A536" s="78"/>
    </row>
    <row r="537" ht="15.75">
      <c r="A537" s="78"/>
    </row>
    <row r="538" ht="15.75">
      <c r="A538" s="78"/>
    </row>
    <row r="539" ht="15.75">
      <c r="A539" s="78"/>
    </row>
    <row r="540" ht="15.75">
      <c r="A540" s="78"/>
    </row>
    <row r="541" ht="15.75">
      <c r="A541" s="78"/>
    </row>
    <row r="542" ht="15.75">
      <c r="A542" s="78"/>
    </row>
    <row r="543" ht="15.75">
      <c r="A543" s="78"/>
    </row>
    <row r="544" ht="15.75">
      <c r="A544" s="78"/>
    </row>
    <row r="545" ht="15.75">
      <c r="A545" s="78"/>
    </row>
    <row r="546" ht="15.75">
      <c r="A546" s="78"/>
    </row>
    <row r="547" ht="15.75">
      <c r="A547" s="78"/>
    </row>
    <row r="548" ht="15.75">
      <c r="A548" s="78"/>
    </row>
    <row r="549" ht="15.75">
      <c r="A549" s="78"/>
    </row>
    <row r="550" ht="15.75">
      <c r="A550" s="78"/>
    </row>
    <row r="551" ht="15.75">
      <c r="A551" s="78"/>
    </row>
    <row r="552" ht="15.75">
      <c r="A552" s="78"/>
    </row>
    <row r="553" ht="15.75">
      <c r="A553" s="78"/>
    </row>
    <row r="554" ht="15.75">
      <c r="A554" s="78"/>
    </row>
    <row r="555" ht="15.75">
      <c r="A555" s="78"/>
    </row>
    <row r="556" ht="15.75">
      <c r="A556" s="78"/>
    </row>
    <row r="557" ht="15.75">
      <c r="A557" s="78"/>
    </row>
    <row r="558" ht="15.75">
      <c r="A558" s="78"/>
    </row>
    <row r="559" ht="15.75">
      <c r="A559" s="78"/>
    </row>
    <row r="560" ht="15.75">
      <c r="A560" s="78"/>
    </row>
    <row r="561" ht="18.75">
      <c r="A561" s="109"/>
    </row>
    <row r="562" ht="15.75">
      <c r="A562" s="78"/>
    </row>
    <row r="563" ht="15.75">
      <c r="A563" s="78"/>
    </row>
    <row r="564" ht="15.75">
      <c r="A564" s="78"/>
    </row>
    <row r="565" ht="15.75">
      <c r="A565" s="78"/>
    </row>
    <row r="566" spans="1:7" ht="15.75">
      <c r="A566" s="17"/>
      <c r="G566" s="108"/>
    </row>
    <row r="567" spans="1:6" ht="15.75">
      <c r="A567" s="17"/>
      <c r="F567" s="108"/>
    </row>
    <row r="568" ht="15.75">
      <c r="A568" s="17"/>
    </row>
    <row r="569" ht="15.75">
      <c r="A569" s="17"/>
    </row>
    <row r="570" ht="15.75">
      <c r="I570" s="93"/>
    </row>
    <row r="571" ht="15.75">
      <c r="A571" s="78"/>
    </row>
    <row r="572" spans="1:7" ht="15.75">
      <c r="A572" s="17"/>
      <c r="G572" s="108"/>
    </row>
    <row r="573" spans="1:7" ht="15.75">
      <c r="A573" s="17"/>
      <c r="G573" s="108"/>
    </row>
    <row r="574" ht="15.75">
      <c r="A574" s="17"/>
    </row>
    <row r="575" ht="15.75">
      <c r="A575" s="17"/>
    </row>
    <row r="576" spans="1:7" ht="15.75">
      <c r="A576" s="17"/>
      <c r="G576" s="108"/>
    </row>
    <row r="577" ht="15.75">
      <c r="A577" s="17"/>
    </row>
    <row r="578" ht="15.75">
      <c r="A578" s="17"/>
    </row>
    <row r="579" ht="15.75">
      <c r="A579" s="17"/>
    </row>
    <row r="580" spans="1:7" ht="15.75">
      <c r="A580" s="17"/>
      <c r="G580" s="108"/>
    </row>
    <row r="581" ht="15.75">
      <c r="A581" s="17"/>
    </row>
    <row r="582" ht="15.75">
      <c r="A582" s="78"/>
    </row>
    <row r="583" ht="15.75">
      <c r="A583" s="78"/>
    </row>
    <row r="584" ht="15.75">
      <c r="A584" s="78"/>
    </row>
    <row r="585" ht="15.75">
      <c r="A585" s="78"/>
    </row>
    <row r="586" ht="15.75">
      <c r="A586" s="78"/>
    </row>
    <row r="587" ht="15.75">
      <c r="A587" s="78"/>
    </row>
    <row r="588" ht="15.75">
      <c r="A588" s="78"/>
    </row>
    <row r="589" ht="15.75">
      <c r="A589" s="78"/>
    </row>
    <row r="590" ht="15.75">
      <c r="A590" s="78"/>
    </row>
    <row r="591" ht="15.75">
      <c r="A591" s="78"/>
    </row>
    <row r="592" ht="15.75">
      <c r="A592" s="78"/>
    </row>
    <row r="593" ht="15.75">
      <c r="A593" s="78"/>
    </row>
    <row r="594" ht="15.75">
      <c r="A594" s="78"/>
    </row>
    <row r="595" ht="15.75">
      <c r="A595" s="78"/>
    </row>
    <row r="596" ht="15.75">
      <c r="A596" s="78"/>
    </row>
    <row r="597" ht="15.75">
      <c r="A597" s="78"/>
    </row>
    <row r="598" ht="15.75">
      <c r="A598" s="78"/>
    </row>
    <row r="599" ht="15.75">
      <c r="A599" s="78"/>
    </row>
    <row r="600" ht="15.75">
      <c r="A600" s="78"/>
    </row>
    <row r="601" ht="15.75">
      <c r="A601" s="78"/>
    </row>
    <row r="602" ht="15.75">
      <c r="A602" s="78"/>
    </row>
    <row r="603" ht="15.75">
      <c r="A603" s="78"/>
    </row>
    <row r="604" ht="15.75">
      <c r="A604" s="78"/>
    </row>
    <row r="605" ht="15.75">
      <c r="A605" s="78"/>
    </row>
    <row r="606" ht="15.75">
      <c r="A606" s="78"/>
    </row>
    <row r="607" ht="15.75">
      <c r="A607" s="78"/>
    </row>
    <row r="608" ht="15.75">
      <c r="A608" s="78"/>
    </row>
    <row r="609" ht="15.75">
      <c r="A609" s="78"/>
    </row>
    <row r="610" ht="15.75">
      <c r="A610" s="78"/>
    </row>
    <row r="611" ht="15.75">
      <c r="A611" s="78"/>
    </row>
    <row r="612" ht="15.75">
      <c r="A612" s="78"/>
    </row>
    <row r="613" ht="15.75">
      <c r="A613" s="78"/>
    </row>
    <row r="614" ht="15.75">
      <c r="A614" s="78"/>
    </row>
    <row r="615" ht="15.75">
      <c r="A615" s="78"/>
    </row>
    <row r="616" ht="15.75">
      <c r="A616" s="78"/>
    </row>
    <row r="617" ht="15.75">
      <c r="A617" s="78"/>
    </row>
    <row r="618" ht="15.75">
      <c r="A618" s="78"/>
    </row>
  </sheetData>
  <mergeCells count="7">
    <mergeCell ref="A506:E506"/>
    <mergeCell ref="A507:E507"/>
    <mergeCell ref="A508:E508"/>
    <mergeCell ref="A2:E2"/>
    <mergeCell ref="E9:E10"/>
    <mergeCell ref="A387:E387"/>
    <mergeCell ref="E416:E417"/>
  </mergeCells>
  <printOptions horizontalCentered="1"/>
  <pageMargins left="0.15748031496062992" right="0.2" top="0.28" bottom="0.17" header="0.27" footer="0.1574803149606299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P17"/>
  <sheetViews>
    <sheetView zoomScale="150" zoomScaleNormal="150" workbookViewId="0" topLeftCell="K1">
      <selection activeCell="A1" sqref="A1:M15"/>
    </sheetView>
  </sheetViews>
  <sheetFormatPr defaultColWidth="9.140625" defaultRowHeight="12.75"/>
  <cols>
    <col min="1" max="1" width="5.28125" style="0" customWidth="1"/>
    <col min="2" max="2" width="26.140625" style="0" customWidth="1"/>
    <col min="3" max="3" width="13.28125" style="0" hidden="1" customWidth="1"/>
    <col min="4" max="4" width="11.28125" style="0" hidden="1" customWidth="1"/>
    <col min="5" max="5" width="14.7109375" style="0" customWidth="1"/>
    <col min="6" max="6" width="14.8515625" style="0" customWidth="1"/>
    <col min="7" max="7" width="7.8515625" style="0" customWidth="1"/>
    <col min="8" max="8" width="14.28125" style="0" hidden="1" customWidth="1"/>
    <col min="9" max="9" width="5.28125" style="0" hidden="1" customWidth="1"/>
    <col min="10" max="10" width="14.140625" style="0" customWidth="1"/>
    <col min="11" max="11" width="15.140625" style="0" customWidth="1"/>
    <col min="12" max="12" width="7.28125" style="0" customWidth="1"/>
    <col min="13" max="13" width="28.28125" style="0" customWidth="1"/>
    <col min="14" max="14" width="14.8515625" style="0" customWidth="1"/>
    <col min="16" max="16" width="19.28125" style="0" customWidth="1"/>
    <col min="18" max="18" width="12.7109375" style="0" bestFit="1" customWidth="1"/>
    <col min="20" max="20" width="12.00390625" style="0" customWidth="1"/>
  </cols>
  <sheetData>
    <row r="1" spans="3:16" ht="12.75">
      <c r="C1" s="127"/>
      <c r="D1" s="127"/>
      <c r="E1" s="127"/>
      <c r="F1" s="127"/>
      <c r="G1" s="127"/>
      <c r="H1" s="127"/>
      <c r="K1" s="127"/>
      <c r="L1" s="127"/>
      <c r="M1" s="141" t="s">
        <v>727</v>
      </c>
      <c r="N1" s="142"/>
      <c r="O1" s="142"/>
      <c r="P1" s="142"/>
    </row>
    <row r="2" spans="3:16" ht="12.75" customHeight="1">
      <c r="C2" s="127"/>
      <c r="D2" s="127"/>
      <c r="E2" s="127"/>
      <c r="F2" s="127"/>
      <c r="G2" s="127"/>
      <c r="H2" s="127"/>
      <c r="K2" s="127"/>
      <c r="L2" s="127"/>
      <c r="M2" s="142"/>
      <c r="N2" s="142"/>
      <c r="O2" s="142"/>
      <c r="P2" s="142"/>
    </row>
    <row r="3" spans="1:13" ht="20.25">
      <c r="A3" s="110"/>
      <c r="B3" s="143" t="s">
        <v>801</v>
      </c>
      <c r="C3" s="144"/>
      <c r="D3" s="144"/>
      <c r="E3" s="144"/>
      <c r="F3" s="144"/>
      <c r="G3" s="144"/>
      <c r="H3" s="141"/>
      <c r="I3" s="118"/>
      <c r="J3" s="142"/>
      <c r="K3" s="144"/>
      <c r="L3" s="144"/>
      <c r="M3" s="142"/>
    </row>
    <row r="4" spans="1:13" ht="12.75">
      <c r="A4" s="145"/>
      <c r="B4" s="146"/>
      <c r="C4" s="146"/>
      <c r="D4" s="146"/>
      <c r="E4" s="146"/>
      <c r="F4" s="146"/>
      <c r="G4" s="146"/>
      <c r="H4" s="142"/>
      <c r="I4" s="146"/>
      <c r="J4" s="146"/>
      <c r="K4" s="146"/>
      <c r="L4" s="146"/>
      <c r="M4" s="146"/>
    </row>
    <row r="5" spans="1:13" ht="12.75">
      <c r="A5" s="145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</row>
    <row r="6" spans="1:13" ht="82.5" customHeight="1">
      <c r="A6" s="147" t="s">
        <v>137</v>
      </c>
      <c r="B6" s="147" t="s">
        <v>728</v>
      </c>
      <c r="C6" s="148" t="s">
        <v>729</v>
      </c>
      <c r="D6" s="148" t="s">
        <v>730</v>
      </c>
      <c r="E6" s="148" t="s">
        <v>731</v>
      </c>
      <c r="F6" s="148" t="s">
        <v>802</v>
      </c>
      <c r="G6" s="148" t="s">
        <v>153</v>
      </c>
      <c r="H6" s="148" t="s">
        <v>732</v>
      </c>
      <c r="I6" s="148" t="s">
        <v>730</v>
      </c>
      <c r="J6" s="148" t="s">
        <v>733</v>
      </c>
      <c r="K6" s="148" t="s">
        <v>802</v>
      </c>
      <c r="L6" s="148" t="s">
        <v>153</v>
      </c>
      <c r="M6" s="148"/>
    </row>
    <row r="7" spans="1:13" ht="12.75">
      <c r="A7" s="149"/>
      <c r="B7" s="149"/>
      <c r="C7" s="149"/>
      <c r="D7" s="150"/>
      <c r="E7" s="150"/>
      <c r="F7" s="150"/>
      <c r="G7" s="150"/>
      <c r="H7" s="150"/>
      <c r="I7" s="150"/>
      <c r="J7" s="150"/>
      <c r="K7" s="150"/>
      <c r="L7" s="150"/>
      <c r="M7" s="150"/>
    </row>
    <row r="8" spans="1:13" ht="38.25">
      <c r="A8" s="175">
        <v>952</v>
      </c>
      <c r="B8" s="174" t="s">
        <v>734</v>
      </c>
      <c r="C8" s="151"/>
      <c r="D8" s="151"/>
      <c r="E8" s="160">
        <v>250000</v>
      </c>
      <c r="F8" s="159">
        <v>0</v>
      </c>
      <c r="G8" s="159">
        <f>F8*100/E8</f>
        <v>0</v>
      </c>
      <c r="H8" s="151"/>
      <c r="I8" s="151"/>
      <c r="J8" s="176"/>
      <c r="K8" s="177"/>
      <c r="L8" s="177"/>
      <c r="M8" s="394"/>
    </row>
    <row r="9" spans="1:13" s="171" customFormat="1" ht="35.25" customHeight="1">
      <c r="A9" s="175">
        <v>955</v>
      </c>
      <c r="B9" s="174" t="s">
        <v>763</v>
      </c>
      <c r="C9" s="116"/>
      <c r="D9" s="152"/>
      <c r="E9" s="160">
        <v>2502823</v>
      </c>
      <c r="F9" s="124">
        <v>2502823.13</v>
      </c>
      <c r="G9" s="159">
        <f>F9*100/E9</f>
        <v>100.00000519413479</v>
      </c>
      <c r="H9" s="116"/>
      <c r="I9" s="116"/>
      <c r="J9" s="176"/>
      <c r="K9" s="177"/>
      <c r="L9" s="177"/>
      <c r="M9" s="423" t="s">
        <v>813</v>
      </c>
    </row>
    <row r="10" spans="1:13" s="171" customFormat="1" ht="12.75">
      <c r="A10" s="153"/>
      <c r="B10" s="154"/>
      <c r="C10" s="155"/>
      <c r="D10" s="156"/>
      <c r="E10" s="155"/>
      <c r="F10" s="155"/>
      <c r="G10" s="155"/>
      <c r="H10" s="155"/>
      <c r="I10" s="155"/>
      <c r="J10" s="155"/>
      <c r="K10" s="155"/>
      <c r="L10" s="155"/>
      <c r="M10" s="157"/>
    </row>
    <row r="11" spans="1:13" s="172" customFormat="1" ht="50.25" customHeight="1">
      <c r="A11" s="178">
        <v>992</v>
      </c>
      <c r="B11" s="174" t="s">
        <v>735</v>
      </c>
      <c r="C11" s="424"/>
      <c r="D11" s="425"/>
      <c r="E11" s="158"/>
      <c r="F11" s="158"/>
      <c r="G11" s="158"/>
      <c r="H11" s="424"/>
      <c r="I11" s="424"/>
      <c r="J11" s="426">
        <v>386498</v>
      </c>
      <c r="K11" s="427">
        <v>246497.44</v>
      </c>
      <c r="L11" s="158">
        <f>K11*100/J11</f>
        <v>63.777157967182234</v>
      </c>
      <c r="M11" s="7" t="s">
        <v>600</v>
      </c>
    </row>
    <row r="12" spans="1:13" s="171" customFormat="1" ht="12.75">
      <c r="A12" s="428"/>
      <c r="B12" s="429"/>
      <c r="C12" s="155"/>
      <c r="D12" s="156"/>
      <c r="E12" s="430"/>
      <c r="F12" s="430"/>
      <c r="G12" s="430"/>
      <c r="H12" s="155"/>
      <c r="I12" s="155"/>
      <c r="J12" s="430"/>
      <c r="K12" s="430"/>
      <c r="L12" s="430"/>
      <c r="M12" s="431"/>
    </row>
    <row r="13" spans="1:13" ht="12.75" customHeight="1">
      <c r="A13" s="822"/>
      <c r="B13" s="823"/>
      <c r="C13" s="161"/>
      <c r="D13" s="162"/>
      <c r="E13" s="828">
        <f>SUM(E8:E11)</f>
        <v>2752823</v>
      </c>
      <c r="F13" s="828">
        <f>F8+F9</f>
        <v>2502823.13</v>
      </c>
      <c r="G13" s="828">
        <f>F13*100/E13</f>
        <v>90.91841829278526</v>
      </c>
      <c r="H13" s="163"/>
      <c r="I13" s="163"/>
      <c r="J13" s="828">
        <f>SUM(J9:J11)</f>
        <v>386498</v>
      </c>
      <c r="K13" s="828">
        <f>SUM(K9:K11)</f>
        <v>246497.44</v>
      </c>
      <c r="L13" s="828">
        <f>K13*100/J13</f>
        <v>63.777157967182234</v>
      </c>
      <c r="M13" s="819"/>
    </row>
    <row r="14" spans="1:13" ht="15.75">
      <c r="A14" s="824"/>
      <c r="B14" s="825"/>
      <c r="C14" s="164">
        <f>SUM(C9:C11)</f>
        <v>0</v>
      </c>
      <c r="D14" s="165">
        <f>SUM(D9:D11)</f>
        <v>0</v>
      </c>
      <c r="E14" s="829"/>
      <c r="F14" s="829"/>
      <c r="G14" s="829"/>
      <c r="H14" s="166">
        <f>SUM(H9:H11)</f>
        <v>0</v>
      </c>
      <c r="I14" s="167">
        <f>SUM(I9:I11)</f>
        <v>0</v>
      </c>
      <c r="J14" s="829"/>
      <c r="K14" s="829"/>
      <c r="L14" s="829"/>
      <c r="M14" s="820"/>
    </row>
    <row r="15" spans="1:13" ht="12.75" customHeight="1">
      <c r="A15" s="826"/>
      <c r="B15" s="827"/>
      <c r="C15" s="168"/>
      <c r="D15" s="168"/>
      <c r="E15" s="830"/>
      <c r="F15" s="830"/>
      <c r="G15" s="830"/>
      <c r="H15" s="169"/>
      <c r="I15" s="170"/>
      <c r="J15" s="830"/>
      <c r="K15" s="830"/>
      <c r="L15" s="830"/>
      <c r="M15" s="821"/>
    </row>
    <row r="17" ht="12.75">
      <c r="B17" s="173"/>
    </row>
  </sheetData>
  <mergeCells count="8">
    <mergeCell ref="M13:M15"/>
    <mergeCell ref="A13:B15"/>
    <mergeCell ref="E13:E15"/>
    <mergeCell ref="F13:F15"/>
    <mergeCell ref="G13:G15"/>
    <mergeCell ref="J13:J15"/>
    <mergeCell ref="K13:K15"/>
    <mergeCell ref="L13:L15"/>
  </mergeCells>
  <printOptions horizontalCentered="1"/>
  <pageMargins left="0.15748031496062992" right="0.15748031496062992" top="0.15748031496062992" bottom="0.52" header="0.1574803149606299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</sheetPr>
  <dimension ref="A1:J35"/>
  <sheetViews>
    <sheetView zoomScale="150" zoomScaleNormal="150" workbookViewId="0" topLeftCell="A30">
      <selection activeCell="A2" sqref="A2:G35"/>
    </sheetView>
  </sheetViews>
  <sheetFormatPr defaultColWidth="9.140625" defaultRowHeight="12.75"/>
  <cols>
    <col min="1" max="1" width="6.8515625" style="146" customWidth="1"/>
    <col min="2" max="2" width="41.8515625" style="146" customWidth="1"/>
    <col min="3" max="3" width="24.28125" style="146" customWidth="1"/>
    <col min="4" max="4" width="43.00390625" style="146" hidden="1" customWidth="1"/>
    <col min="5" max="5" width="2.57421875" style="146" hidden="1" customWidth="1"/>
    <col min="6" max="6" width="19.8515625" style="146" customWidth="1"/>
    <col min="7" max="7" width="7.140625" style="146" customWidth="1"/>
    <col min="8" max="9" width="11.28125" style="146" customWidth="1"/>
    <col min="10" max="16384" width="9.140625" style="146" customWidth="1"/>
  </cols>
  <sheetData>
    <row r="1" spans="3:10" ht="12" customHeight="1">
      <c r="C1" s="118"/>
      <c r="D1" s="142" t="s">
        <v>764</v>
      </c>
      <c r="E1" s="142" t="s">
        <v>765</v>
      </c>
      <c r="F1" s="142"/>
      <c r="H1" s="835"/>
      <c r="I1" s="835"/>
      <c r="J1" s="835"/>
    </row>
    <row r="2" spans="5:7" ht="12.75">
      <c r="E2" s="179"/>
      <c r="F2" s="836" t="s">
        <v>766</v>
      </c>
      <c r="G2" s="836"/>
    </row>
    <row r="3" spans="1:7" ht="18.75" customHeight="1">
      <c r="A3" s="816" t="s">
        <v>767</v>
      </c>
      <c r="B3" s="816"/>
      <c r="C3" s="816"/>
      <c r="D3" s="816"/>
      <c r="E3" s="816"/>
      <c r="F3" s="816"/>
      <c r="G3" s="816"/>
    </row>
    <row r="4" spans="1:7" ht="18.75" customHeight="1">
      <c r="A4" s="816" t="s">
        <v>768</v>
      </c>
      <c r="B4" s="816"/>
      <c r="C4" s="816"/>
      <c r="D4" s="816"/>
      <c r="E4" s="816"/>
      <c r="F4" s="816"/>
      <c r="G4" s="816"/>
    </row>
    <row r="5" spans="1:7" ht="18.75" customHeight="1">
      <c r="A5" s="816" t="s">
        <v>803</v>
      </c>
      <c r="B5" s="816"/>
      <c r="C5" s="816"/>
      <c r="D5" s="816"/>
      <c r="E5" s="816"/>
      <c r="F5" s="816"/>
      <c r="G5" s="816"/>
    </row>
    <row r="6" spans="1:7" ht="18.75" customHeight="1" thickBot="1">
      <c r="A6" s="107"/>
      <c r="B6" s="107"/>
      <c r="C6" s="107"/>
      <c r="D6" s="107"/>
      <c r="E6" s="107"/>
      <c r="F6" s="107"/>
      <c r="G6" s="107"/>
    </row>
    <row r="7" spans="1:7" s="111" customFormat="1" ht="13.5" customHeight="1">
      <c r="A7" s="787" t="s">
        <v>137</v>
      </c>
      <c r="B7" s="787" t="s">
        <v>138</v>
      </c>
      <c r="C7" s="787" t="s">
        <v>804</v>
      </c>
      <c r="D7" s="787"/>
      <c r="E7" s="180"/>
      <c r="F7" s="787" t="s">
        <v>802</v>
      </c>
      <c r="G7" s="787" t="s">
        <v>153</v>
      </c>
    </row>
    <row r="8" spans="1:9" s="112" customFormat="1" ht="48" customHeight="1" thickBot="1">
      <c r="A8" s="788"/>
      <c r="B8" s="788"/>
      <c r="C8" s="788"/>
      <c r="D8" s="788"/>
      <c r="E8" s="181"/>
      <c r="F8" s="788"/>
      <c r="G8" s="788"/>
      <c r="H8" s="182"/>
      <c r="I8" s="182"/>
    </row>
    <row r="9" spans="1:7" s="185" customFormat="1" ht="12.75">
      <c r="A9" s="183"/>
      <c r="B9" s="183"/>
      <c r="C9" s="183"/>
      <c r="D9" s="183"/>
      <c r="E9" s="183"/>
      <c r="F9" s="184"/>
      <c r="G9" s="184"/>
    </row>
    <row r="10" spans="1:7" s="189" customFormat="1" ht="12.75">
      <c r="A10" s="186"/>
      <c r="B10" s="187" t="s">
        <v>769</v>
      </c>
      <c r="C10" s="188">
        <f>C11+C12+C13</f>
        <v>37000</v>
      </c>
      <c r="D10" s="188"/>
      <c r="E10" s="188"/>
      <c r="F10" s="188">
        <f>F11+F12+F13</f>
        <v>76828.11</v>
      </c>
      <c r="G10" s="113"/>
    </row>
    <row r="11" spans="1:7" s="194" customFormat="1" ht="12.75">
      <c r="A11" s="190"/>
      <c r="B11" s="191" t="s">
        <v>1124</v>
      </c>
      <c r="C11" s="192">
        <v>7000</v>
      </c>
      <c r="D11" s="193"/>
      <c r="E11" s="192"/>
      <c r="F11" s="192">
        <v>61816.8</v>
      </c>
      <c r="G11" s="119"/>
    </row>
    <row r="12" spans="1:7" s="118" customFormat="1" ht="27" customHeight="1" thickBot="1">
      <c r="A12" s="114" t="s">
        <v>357</v>
      </c>
      <c r="B12" s="50" t="s">
        <v>160</v>
      </c>
      <c r="C12" s="116">
        <v>30000</v>
      </c>
      <c r="D12" s="116" t="s">
        <v>770</v>
      </c>
      <c r="E12" s="116" t="s">
        <v>770</v>
      </c>
      <c r="F12" s="116">
        <v>15011.31</v>
      </c>
      <c r="G12" s="8">
        <f>F12*100/C12</f>
        <v>50.0377</v>
      </c>
    </row>
    <row r="13" spans="1:7" s="118" customFormat="1" ht="23.25" customHeight="1" hidden="1">
      <c r="A13" s="195" t="s">
        <v>184</v>
      </c>
      <c r="B13" s="50" t="s">
        <v>185</v>
      </c>
      <c r="C13" s="196"/>
      <c r="D13" s="196" t="s">
        <v>771</v>
      </c>
      <c r="E13" s="196"/>
      <c r="F13" s="196"/>
      <c r="G13" s="8" t="e">
        <f>F13*100/C13</f>
        <v>#DIV/0!</v>
      </c>
    </row>
    <row r="14" spans="1:7" s="185" customFormat="1" ht="12.75">
      <c r="A14" s="183"/>
      <c r="B14" s="183"/>
      <c r="C14" s="183"/>
      <c r="D14" s="183"/>
      <c r="E14" s="183"/>
      <c r="F14" s="184"/>
      <c r="G14" s="184"/>
    </row>
    <row r="15" spans="1:7" s="189" customFormat="1" ht="12.75">
      <c r="A15" s="186"/>
      <c r="B15" s="187" t="s">
        <v>772</v>
      </c>
      <c r="C15" s="188">
        <f>SUM(C16:C17)</f>
        <v>37000</v>
      </c>
      <c r="D15" s="188"/>
      <c r="E15" s="188"/>
      <c r="F15" s="188">
        <f>SUM(F16:F17)</f>
        <v>5347.05</v>
      </c>
      <c r="G15" s="113"/>
    </row>
    <row r="16" spans="1:8" s="123" customFormat="1" ht="21" customHeight="1">
      <c r="A16" s="114">
        <v>4210</v>
      </c>
      <c r="B16" s="50" t="s">
        <v>998</v>
      </c>
      <c r="C16" s="124">
        <v>17900</v>
      </c>
      <c r="D16" s="833" t="s">
        <v>773</v>
      </c>
      <c r="E16" s="833" t="s">
        <v>1118</v>
      </c>
      <c r="F16" s="116">
        <v>490.89</v>
      </c>
      <c r="G16" s="8">
        <f>F16*100/C16</f>
        <v>2.7424022346368715</v>
      </c>
      <c r="H16" s="132"/>
    </row>
    <row r="17" spans="1:8" s="123" customFormat="1" ht="29.25" customHeight="1" thickBot="1">
      <c r="A17" s="114">
        <v>4300</v>
      </c>
      <c r="B17" s="50" t="s">
        <v>1000</v>
      </c>
      <c r="C17" s="124">
        <v>19100</v>
      </c>
      <c r="D17" s="834"/>
      <c r="E17" s="834"/>
      <c r="F17" s="116">
        <v>4856.16</v>
      </c>
      <c r="G17" s="8">
        <f>F17*100/C17</f>
        <v>25.424921465968588</v>
      </c>
      <c r="H17" s="132"/>
    </row>
    <row r="18" spans="1:7" s="185" customFormat="1" ht="12.75">
      <c r="A18" s="183"/>
      <c r="B18" s="183"/>
      <c r="C18" s="183"/>
      <c r="D18" s="183"/>
      <c r="E18" s="183"/>
      <c r="F18" s="184"/>
      <c r="G18" s="184"/>
    </row>
    <row r="22" spans="1:7" ht="15.75">
      <c r="A22" s="831" t="s">
        <v>769</v>
      </c>
      <c r="B22" s="831"/>
      <c r="C22" s="832">
        <f>SUM(C24:C25)</f>
        <v>15011.31</v>
      </c>
      <c r="D22" s="832"/>
      <c r="F22" s="832"/>
      <c r="G22" s="832"/>
    </row>
    <row r="23" spans="1:6" ht="15.75">
      <c r="A23" s="78"/>
      <c r="C23" s="93"/>
      <c r="F23" s="93"/>
    </row>
    <row r="24" spans="1:7" ht="36" customHeight="1">
      <c r="A24" s="785" t="s">
        <v>1119</v>
      </c>
      <c r="B24" s="785"/>
      <c r="C24" s="818">
        <v>13354.92</v>
      </c>
      <c r="D24" s="818"/>
      <c r="F24" s="818"/>
      <c r="G24" s="818"/>
    </row>
    <row r="25" spans="1:7" ht="19.5" customHeight="1">
      <c r="A25" s="785" t="s">
        <v>1120</v>
      </c>
      <c r="B25" s="785"/>
      <c r="C25" s="818">
        <v>1656.39</v>
      </c>
      <c r="D25" s="818"/>
      <c r="F25" s="818"/>
      <c r="G25" s="818"/>
    </row>
    <row r="26" spans="1:6" ht="15.75">
      <c r="A26" s="78"/>
      <c r="C26" s="93"/>
      <c r="F26" s="93"/>
    </row>
    <row r="27" spans="1:7" ht="15.75">
      <c r="A27" s="831" t="s">
        <v>772</v>
      </c>
      <c r="B27" s="831"/>
      <c r="C27" s="832">
        <f>SUM(C30:C35)</f>
        <v>5347.049999999999</v>
      </c>
      <c r="D27" s="832"/>
      <c r="F27" s="832"/>
      <c r="G27" s="832"/>
    </row>
    <row r="28" spans="1:6" ht="15.75">
      <c r="A28" s="78"/>
      <c r="C28" s="93"/>
      <c r="F28" s="93"/>
    </row>
    <row r="29" spans="1:6" ht="15.75">
      <c r="A29" s="785" t="s">
        <v>1121</v>
      </c>
      <c r="B29" s="785"/>
      <c r="C29" s="93"/>
      <c r="F29" s="93"/>
    </row>
    <row r="30" spans="1:7" ht="15.75">
      <c r="A30" s="785" t="s">
        <v>1122</v>
      </c>
      <c r="B30" s="785"/>
      <c r="C30" s="818">
        <f>128+176+106.7+2110</f>
        <v>2520.7</v>
      </c>
      <c r="D30" s="818"/>
      <c r="F30" s="818"/>
      <c r="G30" s="818"/>
    </row>
    <row r="31" spans="1:7" ht="15.75">
      <c r="A31" s="785" t="s">
        <v>1155</v>
      </c>
      <c r="B31" s="785"/>
      <c r="C31" s="91">
        <v>384.19</v>
      </c>
      <c r="D31" s="91"/>
      <c r="F31" s="91"/>
      <c r="G31" s="91"/>
    </row>
    <row r="32" spans="1:7" ht="56.25" customHeight="1">
      <c r="A32" s="785" t="s">
        <v>1157</v>
      </c>
      <c r="B32" s="785"/>
      <c r="C32" s="818">
        <v>115.5</v>
      </c>
      <c r="D32" s="818"/>
      <c r="F32" s="818"/>
      <c r="G32" s="818"/>
    </row>
    <row r="33" spans="1:7" ht="40.5" customHeight="1">
      <c r="A33" s="785" t="s">
        <v>1158</v>
      </c>
      <c r="B33" s="785"/>
      <c r="C33" s="91">
        <v>1981</v>
      </c>
      <c r="D33" s="91"/>
      <c r="F33" s="91"/>
      <c r="G33" s="91"/>
    </row>
    <row r="34" spans="1:7" ht="35.25" customHeight="1">
      <c r="A34" s="785" t="s">
        <v>1156</v>
      </c>
      <c r="B34" s="785"/>
      <c r="C34" s="91">
        <v>341.66</v>
      </c>
      <c r="D34" s="91"/>
      <c r="F34" s="91"/>
      <c r="G34" s="91"/>
    </row>
    <row r="35" spans="1:7" ht="15.75">
      <c r="A35" s="785" t="s">
        <v>1123</v>
      </c>
      <c r="B35" s="785"/>
      <c r="C35" s="818">
        <f>1.5+0.5+0.5+1.5</f>
        <v>4</v>
      </c>
      <c r="D35" s="818"/>
      <c r="F35" s="818"/>
      <c r="G35" s="818"/>
    </row>
  </sheetData>
  <mergeCells count="38">
    <mergeCell ref="A31:B31"/>
    <mergeCell ref="A33:B33"/>
    <mergeCell ref="A32:B32"/>
    <mergeCell ref="H1:J1"/>
    <mergeCell ref="F2:G2"/>
    <mergeCell ref="A3:G3"/>
    <mergeCell ref="A4:G4"/>
    <mergeCell ref="A5:G5"/>
    <mergeCell ref="A7:A8"/>
    <mergeCell ref="B7:B8"/>
    <mergeCell ref="C7:C8"/>
    <mergeCell ref="D7:D8"/>
    <mergeCell ref="F7:F8"/>
    <mergeCell ref="G7:G8"/>
    <mergeCell ref="D16:D17"/>
    <mergeCell ref="E16:E17"/>
    <mergeCell ref="A22:B22"/>
    <mergeCell ref="C22:D22"/>
    <mergeCell ref="F22:G22"/>
    <mergeCell ref="A24:B24"/>
    <mergeCell ref="C24:D24"/>
    <mergeCell ref="F24:G24"/>
    <mergeCell ref="A25:B25"/>
    <mergeCell ref="C25:D25"/>
    <mergeCell ref="F25:G25"/>
    <mergeCell ref="A27:B27"/>
    <mergeCell ref="C27:D27"/>
    <mergeCell ref="F27:G27"/>
    <mergeCell ref="A29:B29"/>
    <mergeCell ref="A30:B30"/>
    <mergeCell ref="C30:D30"/>
    <mergeCell ref="F30:G30"/>
    <mergeCell ref="C32:D32"/>
    <mergeCell ref="F32:G32"/>
    <mergeCell ref="F35:G35"/>
    <mergeCell ref="A34:B34"/>
    <mergeCell ref="A35:B35"/>
    <mergeCell ref="C35:D35"/>
  </mergeCells>
  <printOptions horizontalCentered="1"/>
  <pageMargins left="0.15748031496062992" right="0.15748031496062992" top="0.15748031496062992" bottom="0.1968503937007874" header="0.15748031496062992" footer="0.1574803149606299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7"/>
  </sheetPr>
  <dimension ref="B1:L106"/>
  <sheetViews>
    <sheetView tabSelected="1" zoomScale="150" zoomScaleNormal="150" workbookViewId="0" topLeftCell="A1">
      <selection activeCell="J92" sqref="J92"/>
    </sheetView>
  </sheetViews>
  <sheetFormatPr defaultColWidth="9.140625" defaultRowHeight="12.75"/>
  <cols>
    <col min="1" max="1" width="2.28125" style="18" customWidth="1"/>
    <col min="2" max="2" width="4.57421875" style="18" customWidth="1"/>
    <col min="3" max="3" width="6.7109375" style="18" customWidth="1"/>
    <col min="4" max="4" width="4.8515625" style="18" customWidth="1"/>
    <col min="5" max="5" width="18.421875" style="18" customWidth="1"/>
    <col min="6" max="6" width="18.421875" style="18" hidden="1" customWidth="1"/>
    <col min="7" max="7" width="13.140625" style="82" hidden="1" customWidth="1"/>
    <col min="8" max="8" width="13.00390625" style="18" customWidth="1"/>
    <col min="9" max="9" width="11.140625" style="18" customWidth="1"/>
    <col min="10" max="10" width="6.140625" style="18" customWidth="1"/>
    <col min="11" max="11" width="37.28125" style="217" customWidth="1"/>
    <col min="12" max="12" width="9.8515625" style="18" bestFit="1" customWidth="1"/>
    <col min="13" max="16384" width="9.140625" style="18" customWidth="1"/>
  </cols>
  <sheetData>
    <row r="1" spans="2:11" ht="24.75" customHeight="1">
      <c r="B1" s="19" t="s">
        <v>781</v>
      </c>
      <c r="C1" s="20"/>
      <c r="D1" s="21"/>
      <c r="F1" s="22"/>
      <c r="G1" s="23"/>
      <c r="H1" s="22"/>
      <c r="I1" s="22"/>
      <c r="J1" s="22"/>
      <c r="K1" s="840" t="s">
        <v>742</v>
      </c>
    </row>
    <row r="2" spans="2:11" ht="6" customHeight="1">
      <c r="B2" s="19"/>
      <c r="C2" s="20"/>
      <c r="D2" s="21"/>
      <c r="F2" s="22"/>
      <c r="G2" s="23"/>
      <c r="H2" s="22"/>
      <c r="I2" s="22"/>
      <c r="J2" s="22"/>
      <c r="K2" s="841"/>
    </row>
    <row r="3" spans="2:11" s="387" customFormat="1" ht="31.5" customHeight="1">
      <c r="B3" s="842" t="s">
        <v>135</v>
      </c>
      <c r="C3" s="842" t="s">
        <v>993</v>
      </c>
      <c r="D3" s="842" t="s">
        <v>137</v>
      </c>
      <c r="E3" s="842" t="s">
        <v>138</v>
      </c>
      <c r="F3" s="842" t="s">
        <v>1114</v>
      </c>
      <c r="G3" s="843" t="s">
        <v>139</v>
      </c>
      <c r="H3" s="842" t="s">
        <v>782</v>
      </c>
      <c r="I3" s="838" t="s">
        <v>783</v>
      </c>
      <c r="J3" s="839" t="s">
        <v>153</v>
      </c>
      <c r="K3" s="844" t="s">
        <v>784</v>
      </c>
    </row>
    <row r="4" spans="2:11" s="388" customFormat="1" ht="25.5" customHeight="1">
      <c r="B4" s="842"/>
      <c r="C4" s="842"/>
      <c r="D4" s="842"/>
      <c r="E4" s="842"/>
      <c r="F4" s="842"/>
      <c r="G4" s="843"/>
      <c r="H4" s="842"/>
      <c r="I4" s="838"/>
      <c r="J4" s="839"/>
      <c r="K4" s="844"/>
    </row>
    <row r="5" spans="2:11" ht="12.75">
      <c r="B5" s="134"/>
      <c r="C5" s="134"/>
      <c r="D5" s="134"/>
      <c r="E5" s="134"/>
      <c r="F5" s="134"/>
      <c r="G5" s="374"/>
      <c r="H5" s="134"/>
      <c r="I5" s="134"/>
      <c r="J5" s="134"/>
      <c r="K5" s="197"/>
    </row>
    <row r="6" spans="2:11" ht="12.75">
      <c r="B6" s="135" t="s">
        <v>155</v>
      </c>
      <c r="C6" s="29"/>
      <c r="D6" s="29"/>
      <c r="E6" s="30" t="s">
        <v>156</v>
      </c>
      <c r="F6" s="31">
        <f>F7</f>
        <v>166415</v>
      </c>
      <c r="G6" s="32">
        <f>G7</f>
        <v>5987</v>
      </c>
      <c r="H6" s="31">
        <f>H7</f>
        <v>1055700</v>
      </c>
      <c r="I6" s="31">
        <f>I7</f>
        <v>202829.63999999998</v>
      </c>
      <c r="J6" s="51">
        <f>I6*100/H6</f>
        <v>19.21281045751634</v>
      </c>
      <c r="K6" s="198"/>
    </row>
    <row r="7" spans="2:11" s="28" customFormat="1" ht="38.25">
      <c r="B7" s="35"/>
      <c r="C7" s="34" t="s">
        <v>157</v>
      </c>
      <c r="D7" s="35"/>
      <c r="E7" s="36" t="s">
        <v>158</v>
      </c>
      <c r="F7" s="37">
        <f>SUM(F8:F8)</f>
        <v>166415</v>
      </c>
      <c r="G7" s="38">
        <f>SUM(G8:G8)</f>
        <v>5987</v>
      </c>
      <c r="H7" s="37">
        <f>SUM(H8:H8)</f>
        <v>1055700</v>
      </c>
      <c r="I7" s="37">
        <f>SUM(I8:I8)</f>
        <v>202829.63999999998</v>
      </c>
      <c r="J7" s="37">
        <f>I7*100/H7</f>
        <v>19.21281045751634</v>
      </c>
      <c r="K7" s="199"/>
    </row>
    <row r="8" spans="2:11" s="28" customFormat="1" ht="38.25">
      <c r="B8" s="41"/>
      <c r="C8" s="200"/>
      <c r="D8" s="42">
        <v>6050</v>
      </c>
      <c r="E8" s="42" t="s">
        <v>1001</v>
      </c>
      <c r="F8" s="201">
        <f>SUM(F9:F15)</f>
        <v>166415</v>
      </c>
      <c r="G8" s="375">
        <f>SUM(G9:G15)</f>
        <v>5987</v>
      </c>
      <c r="H8" s="375">
        <f>SUM(H9:H15)</f>
        <v>1055700</v>
      </c>
      <c r="I8" s="375">
        <f>SUM(I9:I15)</f>
        <v>202829.63999999998</v>
      </c>
      <c r="J8" s="375">
        <f aca="true" t="shared" si="0" ref="J8:J15">I8*100/H8</f>
        <v>19.21281045751634</v>
      </c>
      <c r="K8" s="199"/>
    </row>
    <row r="9" spans="2:11" s="28" customFormat="1" ht="24">
      <c r="B9" s="41"/>
      <c r="C9" s="200"/>
      <c r="D9" s="42"/>
      <c r="E9" s="42"/>
      <c r="F9" s="46">
        <v>31500</v>
      </c>
      <c r="G9" s="48">
        <v>5</v>
      </c>
      <c r="H9" s="46">
        <v>25000</v>
      </c>
      <c r="I9" s="46"/>
      <c r="J9" s="201">
        <f t="shared" si="0"/>
        <v>0</v>
      </c>
      <c r="K9" s="202" t="s">
        <v>705</v>
      </c>
    </row>
    <row r="10" spans="2:11" s="28" customFormat="1" ht="12.75">
      <c r="B10" s="41"/>
      <c r="C10" s="200"/>
      <c r="D10" s="42"/>
      <c r="E10" s="42"/>
      <c r="F10" s="46">
        <v>10000</v>
      </c>
      <c r="G10" s="271"/>
      <c r="H10" s="46">
        <v>15000</v>
      </c>
      <c r="I10" s="46"/>
      <c r="J10" s="201">
        <f t="shared" si="0"/>
        <v>0</v>
      </c>
      <c r="K10" s="202" t="s">
        <v>785</v>
      </c>
    </row>
    <row r="11" spans="2:11" s="28" customFormat="1" ht="24">
      <c r="B11" s="41"/>
      <c r="C11" s="200"/>
      <c r="D11" s="42"/>
      <c r="E11" s="42"/>
      <c r="F11" s="46">
        <v>0</v>
      </c>
      <c r="G11" s="48">
        <v>5682</v>
      </c>
      <c r="H11" s="46">
        <v>90000</v>
      </c>
      <c r="I11" s="46"/>
      <c r="J11" s="201">
        <f t="shared" si="0"/>
        <v>0</v>
      </c>
      <c r="K11" s="202" t="s">
        <v>786</v>
      </c>
    </row>
    <row r="12" spans="2:11" s="28" customFormat="1" ht="12.75">
      <c r="B12" s="41"/>
      <c r="C12" s="200"/>
      <c r="D12" s="42"/>
      <c r="E12" s="42"/>
      <c r="F12" s="46">
        <v>35666</v>
      </c>
      <c r="G12" s="48"/>
      <c r="H12" s="46">
        <v>120000</v>
      </c>
      <c r="I12" s="46"/>
      <c r="J12" s="201">
        <f t="shared" si="0"/>
        <v>0</v>
      </c>
      <c r="K12" s="202" t="s">
        <v>787</v>
      </c>
    </row>
    <row r="13" spans="2:11" s="28" customFormat="1" ht="12.75">
      <c r="B13" s="41"/>
      <c r="C13" s="200"/>
      <c r="D13" s="42"/>
      <c r="E13" s="42"/>
      <c r="F13" s="46">
        <v>17542</v>
      </c>
      <c r="G13" s="48"/>
      <c r="H13" s="46">
        <v>205000</v>
      </c>
      <c r="I13" s="46">
        <v>202674.3</v>
      </c>
      <c r="J13" s="201">
        <f t="shared" si="0"/>
        <v>98.86551219512195</v>
      </c>
      <c r="K13" s="202" t="s">
        <v>706</v>
      </c>
    </row>
    <row r="14" spans="2:11" s="28" customFormat="1" ht="36">
      <c r="B14" s="41"/>
      <c r="C14" s="200"/>
      <c r="D14" s="42"/>
      <c r="E14" s="42"/>
      <c r="F14" s="46">
        <v>40000</v>
      </c>
      <c r="G14" s="48">
        <v>300</v>
      </c>
      <c r="H14" s="46">
        <v>490700</v>
      </c>
      <c r="I14" s="46">
        <v>155.34</v>
      </c>
      <c r="J14" s="201">
        <f t="shared" si="0"/>
        <v>0.03165681679233748</v>
      </c>
      <c r="K14" s="202" t="s">
        <v>788</v>
      </c>
    </row>
    <row r="15" spans="2:11" s="28" customFormat="1" ht="24">
      <c r="B15" s="41"/>
      <c r="C15" s="200"/>
      <c r="D15" s="42"/>
      <c r="E15" s="42"/>
      <c r="F15" s="46">
        <v>31707</v>
      </c>
      <c r="G15" s="48"/>
      <c r="H15" s="46">
        <v>110000</v>
      </c>
      <c r="I15" s="46"/>
      <c r="J15" s="201">
        <f t="shared" si="0"/>
        <v>0</v>
      </c>
      <c r="K15" s="202" t="s">
        <v>789</v>
      </c>
    </row>
    <row r="16" spans="2:11" s="28" customFormat="1" ht="12.75">
      <c r="B16" s="54">
        <v>600</v>
      </c>
      <c r="C16" s="54"/>
      <c r="D16" s="54"/>
      <c r="E16" s="55" t="s">
        <v>169</v>
      </c>
      <c r="F16" s="51">
        <f>F19+F17</f>
        <v>1180354</v>
      </c>
      <c r="G16" s="52">
        <f>G19+G17</f>
        <v>0</v>
      </c>
      <c r="H16" s="51">
        <f>H19+H17</f>
        <v>1082000</v>
      </c>
      <c r="I16" s="51">
        <f>I19+I17</f>
        <v>26840</v>
      </c>
      <c r="J16" s="51">
        <f aca="true" t="shared" si="1" ref="J16:J26">I16*100/H16</f>
        <v>2.4805914972273566</v>
      </c>
      <c r="K16" s="203"/>
    </row>
    <row r="17" spans="2:11" s="56" customFormat="1" ht="25.5">
      <c r="B17" s="67"/>
      <c r="C17" s="35">
        <v>60014</v>
      </c>
      <c r="D17" s="35"/>
      <c r="E17" s="36" t="s">
        <v>170</v>
      </c>
      <c r="F17" s="57">
        <f>F18</f>
        <v>149354</v>
      </c>
      <c r="G17" s="58">
        <f>G18</f>
        <v>0</v>
      </c>
      <c r="H17" s="57">
        <f>H18</f>
        <v>118000</v>
      </c>
      <c r="I17" s="57">
        <f>I18</f>
        <v>0</v>
      </c>
      <c r="J17" s="37">
        <f t="shared" si="1"/>
        <v>0</v>
      </c>
      <c r="K17" s="204"/>
    </row>
    <row r="18" spans="2:11" s="56" customFormat="1" ht="127.5">
      <c r="B18" s="67"/>
      <c r="C18" s="35"/>
      <c r="D18" s="41">
        <v>6300</v>
      </c>
      <c r="E18" s="42" t="s">
        <v>569</v>
      </c>
      <c r="F18" s="59">
        <v>149354</v>
      </c>
      <c r="G18" s="376"/>
      <c r="H18" s="59">
        <v>118000</v>
      </c>
      <c r="I18" s="46"/>
      <c r="J18" s="201">
        <f t="shared" si="1"/>
        <v>0</v>
      </c>
      <c r="K18" s="205" t="s">
        <v>790</v>
      </c>
    </row>
    <row r="19" spans="2:11" s="28" customFormat="1" ht="25.5">
      <c r="B19" s="35"/>
      <c r="C19" s="35">
        <v>60016</v>
      </c>
      <c r="D19" s="35"/>
      <c r="E19" s="36" t="s">
        <v>172</v>
      </c>
      <c r="F19" s="37">
        <f>SUM(F20:F20)</f>
        <v>1031000</v>
      </c>
      <c r="G19" s="38">
        <f>SUM(G20:G20)</f>
        <v>0</v>
      </c>
      <c r="H19" s="37">
        <f>SUM(H20:H20)</f>
        <v>964000</v>
      </c>
      <c r="I19" s="37">
        <f>SUM(I20:I20)</f>
        <v>26840</v>
      </c>
      <c r="J19" s="37">
        <f t="shared" si="1"/>
        <v>2.784232365145228</v>
      </c>
      <c r="K19" s="837"/>
    </row>
    <row r="20" spans="2:11" s="28" customFormat="1" ht="38.25">
      <c r="B20" s="41"/>
      <c r="C20" s="40"/>
      <c r="D20" s="41">
        <v>6050</v>
      </c>
      <c r="E20" s="42" t="s">
        <v>1001</v>
      </c>
      <c r="F20" s="201">
        <f>SUM(F21:F24)</f>
        <v>1031000</v>
      </c>
      <c r="G20" s="375">
        <f>SUM(G21:G24)</f>
        <v>0</v>
      </c>
      <c r="H20" s="375">
        <f>SUM(H21:H24)</f>
        <v>964000</v>
      </c>
      <c r="I20" s="375">
        <f>SUM(I21:I24)</f>
        <v>26840</v>
      </c>
      <c r="J20" s="375">
        <f t="shared" si="1"/>
        <v>2.784232365145228</v>
      </c>
      <c r="K20" s="837"/>
    </row>
    <row r="21" spans="2:11" s="28" customFormat="1" ht="24">
      <c r="B21" s="41"/>
      <c r="C21" s="40"/>
      <c r="D21" s="41"/>
      <c r="E21" s="42"/>
      <c r="F21" s="46">
        <v>825000</v>
      </c>
      <c r="G21" s="48"/>
      <c r="H21" s="46">
        <v>440000</v>
      </c>
      <c r="I21" s="46">
        <v>9760</v>
      </c>
      <c r="J21" s="201">
        <f t="shared" si="1"/>
        <v>2.2181818181818183</v>
      </c>
      <c r="K21" s="202" t="s">
        <v>814</v>
      </c>
    </row>
    <row r="22" spans="2:11" s="28" customFormat="1" ht="24">
      <c r="B22" s="41"/>
      <c r="C22" s="40"/>
      <c r="D22" s="41"/>
      <c r="E22" s="42"/>
      <c r="F22" s="46">
        <v>40000</v>
      </c>
      <c r="G22" s="48"/>
      <c r="H22" s="46">
        <v>30000</v>
      </c>
      <c r="I22" s="46"/>
      <c r="J22" s="201">
        <f t="shared" si="1"/>
        <v>0</v>
      </c>
      <c r="K22" s="510" t="s">
        <v>294</v>
      </c>
    </row>
    <row r="23" spans="2:11" s="28" customFormat="1" ht="24">
      <c r="B23" s="41"/>
      <c r="C23" s="40"/>
      <c r="D23" s="41"/>
      <c r="E23" s="42"/>
      <c r="F23" s="46">
        <v>18000</v>
      </c>
      <c r="G23" s="48"/>
      <c r="H23" s="46">
        <v>184000</v>
      </c>
      <c r="I23" s="46"/>
      <c r="J23" s="201">
        <f t="shared" si="1"/>
        <v>0</v>
      </c>
      <c r="K23" s="511" t="s">
        <v>815</v>
      </c>
    </row>
    <row r="24" spans="2:11" s="28" customFormat="1" ht="12.75">
      <c r="B24" s="41"/>
      <c r="C24" s="40"/>
      <c r="D24" s="41"/>
      <c r="E24" s="42"/>
      <c r="F24" s="46">
        <v>148000</v>
      </c>
      <c r="G24" s="48"/>
      <c r="H24" s="46">
        <v>310000</v>
      </c>
      <c r="I24" s="46">
        <v>17080</v>
      </c>
      <c r="J24" s="201">
        <f t="shared" si="1"/>
        <v>5.509677419354839</v>
      </c>
      <c r="K24" s="202" t="s">
        <v>816</v>
      </c>
    </row>
    <row r="25" spans="2:11" s="28" customFormat="1" ht="25.5">
      <c r="B25" s="206">
        <v>700</v>
      </c>
      <c r="C25" s="206"/>
      <c r="D25" s="206"/>
      <c r="E25" s="207" t="s">
        <v>175</v>
      </c>
      <c r="F25" s="208">
        <f>F31+F26</f>
        <v>897793</v>
      </c>
      <c r="G25" s="377">
        <f>G31+G26</f>
        <v>0</v>
      </c>
      <c r="H25" s="208">
        <f>H31+H26</f>
        <v>999708</v>
      </c>
      <c r="I25" s="208">
        <f>I31+I26</f>
        <v>279992.31999999995</v>
      </c>
      <c r="J25" s="51">
        <f t="shared" si="1"/>
        <v>28.007410163767815</v>
      </c>
      <c r="K25" s="209"/>
    </row>
    <row r="26" spans="2:11" s="378" customFormat="1" ht="38.25">
      <c r="B26" s="67"/>
      <c r="C26" s="35">
        <v>70004</v>
      </c>
      <c r="D26" s="35"/>
      <c r="E26" s="36" t="s">
        <v>570</v>
      </c>
      <c r="F26" s="57">
        <f>F27</f>
        <v>16470</v>
      </c>
      <c r="G26" s="58">
        <f>G27</f>
        <v>0</v>
      </c>
      <c r="H26" s="57">
        <f>H27</f>
        <v>183000</v>
      </c>
      <c r="I26" s="57">
        <f>I27</f>
        <v>123096</v>
      </c>
      <c r="J26" s="37">
        <f t="shared" si="1"/>
        <v>67.2655737704918</v>
      </c>
      <c r="K26" s="204"/>
    </row>
    <row r="27" spans="2:11" s="22" customFormat="1" ht="114.75">
      <c r="B27" s="379"/>
      <c r="C27" s="379"/>
      <c r="D27" s="380">
        <v>6210</v>
      </c>
      <c r="E27" s="381" t="s">
        <v>572</v>
      </c>
      <c r="F27" s="382">
        <f>SUM(F28:F30)</f>
        <v>16470</v>
      </c>
      <c r="G27" s="383">
        <f>SUM(G28:G30)</f>
        <v>0</v>
      </c>
      <c r="H27" s="383">
        <f>SUM(H28:H30)</f>
        <v>183000</v>
      </c>
      <c r="I27" s="383">
        <f>SUM(I28:I30)</f>
        <v>123096</v>
      </c>
      <c r="J27" s="375">
        <f aca="true" t="shared" si="2" ref="J27:J38">I27*100/H27</f>
        <v>67.2655737704918</v>
      </c>
      <c r="K27" s="205"/>
    </row>
    <row r="28" spans="2:11" s="22" customFormat="1" ht="29.25" customHeight="1">
      <c r="B28" s="379"/>
      <c r="C28" s="379"/>
      <c r="D28" s="380"/>
      <c r="E28" s="381"/>
      <c r="F28" s="384">
        <v>16470</v>
      </c>
      <c r="G28" s="385"/>
      <c r="H28" s="384">
        <v>183000</v>
      </c>
      <c r="I28" s="46">
        <v>123096</v>
      </c>
      <c r="J28" s="201">
        <f t="shared" si="2"/>
        <v>67.2655737704918</v>
      </c>
      <c r="K28" s="205" t="s">
        <v>817</v>
      </c>
    </row>
    <row r="29" spans="2:11" s="22" customFormat="1" ht="18" customHeight="1" hidden="1">
      <c r="B29" s="379"/>
      <c r="C29" s="379"/>
      <c r="D29" s="380"/>
      <c r="E29" s="381"/>
      <c r="F29" s="384"/>
      <c r="G29" s="385"/>
      <c r="H29" s="46"/>
      <c r="I29" s="46"/>
      <c r="J29" s="201"/>
      <c r="K29" s="205"/>
    </row>
    <row r="30" spans="2:11" s="22" customFormat="1" ht="17.25" customHeight="1" hidden="1">
      <c r="B30" s="379"/>
      <c r="C30" s="379"/>
      <c r="D30" s="380"/>
      <c r="E30" s="381"/>
      <c r="F30" s="384"/>
      <c r="G30" s="385"/>
      <c r="H30" s="46"/>
      <c r="I30" s="46"/>
      <c r="J30" s="201"/>
      <c r="K30" s="205"/>
    </row>
    <row r="31" spans="2:11" s="66" customFormat="1" ht="25.5">
      <c r="B31" s="67"/>
      <c r="C31" s="35">
        <v>70005</v>
      </c>
      <c r="D31" s="35"/>
      <c r="E31" s="36" t="s">
        <v>176</v>
      </c>
      <c r="F31" s="37">
        <f>SUM(F32:F36)</f>
        <v>881323</v>
      </c>
      <c r="G31" s="38">
        <f>SUM(G32:G36)</f>
        <v>0</v>
      </c>
      <c r="H31" s="37">
        <f>H32+H36</f>
        <v>816708</v>
      </c>
      <c r="I31" s="37">
        <f>I32+I36</f>
        <v>156896.31999999998</v>
      </c>
      <c r="J31" s="37">
        <f>I31*100/H31</f>
        <v>19.210821982887396</v>
      </c>
      <c r="K31" s="210"/>
    </row>
    <row r="32" spans="2:11" s="66" customFormat="1" ht="38.25">
      <c r="B32" s="67"/>
      <c r="C32" s="67"/>
      <c r="D32" s="41">
        <v>6050</v>
      </c>
      <c r="E32" s="42" t="s">
        <v>1001</v>
      </c>
      <c r="F32" s="59">
        <v>53500</v>
      </c>
      <c r="G32" s="60"/>
      <c r="H32" s="375">
        <f>SUM(H33:H35)</f>
        <v>280000</v>
      </c>
      <c r="I32" s="375">
        <f>SUM(I33:I35)</f>
        <v>336.52</v>
      </c>
      <c r="J32" s="375">
        <f t="shared" si="2"/>
        <v>0.12018571428571428</v>
      </c>
      <c r="K32" s="211"/>
    </row>
    <row r="33" spans="2:11" s="66" customFormat="1" ht="12.75">
      <c r="B33" s="67"/>
      <c r="C33" s="67"/>
      <c r="D33" s="41"/>
      <c r="E33" s="42"/>
      <c r="F33" s="59"/>
      <c r="G33" s="60"/>
      <c r="H33" s="59">
        <v>90000</v>
      </c>
      <c r="I33" s="46">
        <v>336.52</v>
      </c>
      <c r="J33" s="201">
        <f t="shared" si="2"/>
        <v>0.37391111111111114</v>
      </c>
      <c r="K33" s="211" t="s">
        <v>818</v>
      </c>
    </row>
    <row r="34" spans="2:11" s="66" customFormat="1" ht="12.75">
      <c r="B34" s="67"/>
      <c r="C34" s="67"/>
      <c r="D34" s="41"/>
      <c r="E34" s="42"/>
      <c r="F34" s="59"/>
      <c r="G34" s="60"/>
      <c r="H34" s="59">
        <v>90000</v>
      </c>
      <c r="I34" s="46"/>
      <c r="J34" s="201">
        <f t="shared" si="2"/>
        <v>0</v>
      </c>
      <c r="K34" s="211" t="s">
        <v>819</v>
      </c>
    </row>
    <row r="35" spans="2:11" s="66" customFormat="1" ht="24">
      <c r="B35" s="67"/>
      <c r="C35" s="67"/>
      <c r="D35" s="41"/>
      <c r="E35" s="42"/>
      <c r="F35" s="59"/>
      <c r="G35" s="60"/>
      <c r="H35" s="59">
        <v>100000</v>
      </c>
      <c r="I35" s="46"/>
      <c r="J35" s="201">
        <f t="shared" si="2"/>
        <v>0</v>
      </c>
      <c r="K35" s="211" t="s">
        <v>820</v>
      </c>
    </row>
    <row r="36" spans="2:11" s="66" customFormat="1" ht="51">
      <c r="B36" s="67"/>
      <c r="C36" s="67"/>
      <c r="D36" s="41">
        <v>6060</v>
      </c>
      <c r="E36" s="42" t="s">
        <v>573</v>
      </c>
      <c r="F36" s="57">
        <f>SUM(F37:F38)</f>
        <v>827823</v>
      </c>
      <c r="G36" s="58">
        <f>SUM(G37:G38)</f>
        <v>0</v>
      </c>
      <c r="H36" s="513">
        <f>SUM(H37:H38)</f>
        <v>536708</v>
      </c>
      <c r="I36" s="513">
        <f>SUM(I37:I38)</f>
        <v>156559.8</v>
      </c>
      <c r="J36" s="375">
        <f t="shared" si="2"/>
        <v>29.170386877035554</v>
      </c>
      <c r="K36" s="211"/>
    </row>
    <row r="37" spans="2:11" s="66" customFormat="1" ht="12.75">
      <c r="B37" s="67"/>
      <c r="C37" s="67"/>
      <c r="D37" s="41"/>
      <c r="E37" s="42"/>
      <c r="F37" s="59">
        <v>169865</v>
      </c>
      <c r="G37" s="60"/>
      <c r="H37" s="59">
        <v>125000</v>
      </c>
      <c r="I37" s="46">
        <v>6405</v>
      </c>
      <c r="J37" s="201">
        <f t="shared" si="2"/>
        <v>5.124</v>
      </c>
      <c r="K37" s="211" t="s">
        <v>736</v>
      </c>
    </row>
    <row r="38" spans="2:12" s="66" customFormat="1" ht="12.75">
      <c r="B38" s="67"/>
      <c r="C38" s="67"/>
      <c r="D38" s="41"/>
      <c r="E38" s="42"/>
      <c r="F38" s="59">
        <v>657958</v>
      </c>
      <c r="G38" s="60"/>
      <c r="H38" s="59">
        <v>411708</v>
      </c>
      <c r="I38" s="59">
        <v>150154.8</v>
      </c>
      <c r="J38" s="201">
        <f t="shared" si="2"/>
        <v>36.471188317934065</v>
      </c>
      <c r="K38" s="211" t="s">
        <v>737</v>
      </c>
      <c r="L38" s="748"/>
    </row>
    <row r="39" spans="2:11" s="28" customFormat="1" ht="25.5">
      <c r="B39" s="54">
        <v>750</v>
      </c>
      <c r="C39" s="54"/>
      <c r="D39" s="54"/>
      <c r="E39" s="55" t="s">
        <v>187</v>
      </c>
      <c r="F39" s="51">
        <f>F40</f>
        <v>238846</v>
      </c>
      <c r="G39" s="52">
        <f>G40</f>
        <v>0</v>
      </c>
      <c r="H39" s="51">
        <f>H40+H45</f>
        <v>449500</v>
      </c>
      <c r="I39" s="51">
        <f>I40+I45</f>
        <v>30809.79</v>
      </c>
      <c r="J39" s="51">
        <f>I39*100/H39</f>
        <v>6.854235817575083</v>
      </c>
      <c r="K39" s="203"/>
    </row>
    <row r="40" spans="2:11" s="28" customFormat="1" ht="12.75">
      <c r="B40" s="35"/>
      <c r="C40" s="35">
        <v>75023</v>
      </c>
      <c r="D40" s="35"/>
      <c r="E40" s="36" t="s">
        <v>356</v>
      </c>
      <c r="F40" s="37">
        <f>F41+F42+F45</f>
        <v>238846</v>
      </c>
      <c r="G40" s="38">
        <f>G41+G42+G45</f>
        <v>0</v>
      </c>
      <c r="H40" s="37">
        <f>H41+H42</f>
        <v>142000</v>
      </c>
      <c r="I40" s="37">
        <f>I41+I42</f>
        <v>18056</v>
      </c>
      <c r="J40" s="37">
        <f>I40*100/H40</f>
        <v>12.715492957746479</v>
      </c>
      <c r="K40" s="199"/>
    </row>
    <row r="41" spans="2:11" s="28" customFormat="1" ht="48">
      <c r="B41" s="35"/>
      <c r="C41" s="35"/>
      <c r="D41" s="41">
        <v>6050</v>
      </c>
      <c r="E41" s="42" t="s">
        <v>1001</v>
      </c>
      <c r="F41" s="43">
        <v>45000</v>
      </c>
      <c r="G41" s="44"/>
      <c r="H41" s="43">
        <v>100000</v>
      </c>
      <c r="I41" s="46">
        <v>6954</v>
      </c>
      <c r="J41" s="201">
        <f aca="true" t="shared" si="3" ref="J41:J51">I41*100/H41</f>
        <v>6.954</v>
      </c>
      <c r="K41" s="205" t="s">
        <v>821</v>
      </c>
    </row>
    <row r="42" spans="2:11" s="28" customFormat="1" ht="51">
      <c r="B42" s="35"/>
      <c r="C42" s="41"/>
      <c r="D42" s="41">
        <v>6060</v>
      </c>
      <c r="E42" s="42" t="s">
        <v>573</v>
      </c>
      <c r="F42" s="37">
        <f>SUM(F43:F44)</f>
        <v>82200</v>
      </c>
      <c r="G42" s="38">
        <f>SUM(G43:G44)</f>
        <v>0</v>
      </c>
      <c r="H42" s="375">
        <f>SUM(H43:H44)</f>
        <v>42000</v>
      </c>
      <c r="I42" s="375">
        <f>SUM(I43:I44)</f>
        <v>11102</v>
      </c>
      <c r="J42" s="375">
        <f t="shared" si="3"/>
        <v>26.433333333333334</v>
      </c>
      <c r="K42" s="199"/>
    </row>
    <row r="43" spans="2:11" s="28" customFormat="1" ht="24">
      <c r="B43" s="35"/>
      <c r="C43" s="41"/>
      <c r="D43" s="41"/>
      <c r="E43" s="42"/>
      <c r="F43" s="43">
        <v>30142</v>
      </c>
      <c r="G43" s="44"/>
      <c r="H43" s="43">
        <v>12000</v>
      </c>
      <c r="I43" s="46">
        <v>11102</v>
      </c>
      <c r="J43" s="201">
        <f t="shared" si="3"/>
        <v>92.51666666666667</v>
      </c>
      <c r="K43" s="199" t="s">
        <v>822</v>
      </c>
    </row>
    <row r="44" spans="2:11" s="28" customFormat="1" ht="12.75">
      <c r="B44" s="35"/>
      <c r="C44" s="41"/>
      <c r="D44" s="41"/>
      <c r="E44" s="42"/>
      <c r="F44" s="43">
        <v>52058</v>
      </c>
      <c r="G44" s="44"/>
      <c r="H44" s="43">
        <v>30000</v>
      </c>
      <c r="I44" s="46"/>
      <c r="J44" s="201">
        <f t="shared" si="3"/>
        <v>0</v>
      </c>
      <c r="K44" s="199" t="s">
        <v>1115</v>
      </c>
    </row>
    <row r="45" spans="2:11" s="28" customFormat="1" ht="12.75">
      <c r="B45" s="35"/>
      <c r="C45" s="35">
        <v>75095</v>
      </c>
      <c r="D45" s="35"/>
      <c r="E45" s="36" t="s">
        <v>162</v>
      </c>
      <c r="F45" s="37">
        <f>F46+F50</f>
        <v>111646</v>
      </c>
      <c r="G45" s="38">
        <f>G46+G50</f>
        <v>0</v>
      </c>
      <c r="H45" s="37">
        <f>H46+H50</f>
        <v>307500</v>
      </c>
      <c r="I45" s="37">
        <f>I46+I50</f>
        <v>12753.79</v>
      </c>
      <c r="J45" s="201">
        <f t="shared" si="3"/>
        <v>4.1475739837398375</v>
      </c>
      <c r="K45" s="199"/>
    </row>
    <row r="46" spans="2:11" s="28" customFormat="1" ht="38.25">
      <c r="B46" s="35"/>
      <c r="C46" s="41"/>
      <c r="D46" s="41">
        <v>6050</v>
      </c>
      <c r="E46" s="42" t="s">
        <v>1001</v>
      </c>
      <c r="F46" s="201">
        <f>SUM(F47:F49)</f>
        <v>90646</v>
      </c>
      <c r="G46" s="375">
        <f>SUM(G47:G49)</f>
        <v>0</v>
      </c>
      <c r="H46" s="375">
        <f>SUM(H47:H49)</f>
        <v>300000</v>
      </c>
      <c r="I46" s="375">
        <f>SUM(I47:I49)</f>
        <v>6412.4</v>
      </c>
      <c r="J46" s="375">
        <f t="shared" si="3"/>
        <v>2.1374666666666666</v>
      </c>
      <c r="K46" s="212"/>
    </row>
    <row r="47" spans="2:11" s="28" customFormat="1" ht="24" customHeight="1">
      <c r="B47" s="35"/>
      <c r="C47" s="41"/>
      <c r="D47" s="41"/>
      <c r="E47" s="42"/>
      <c r="F47" s="43">
        <v>74646</v>
      </c>
      <c r="G47" s="44"/>
      <c r="H47" s="43">
        <v>170000</v>
      </c>
      <c r="I47" s="46">
        <v>6412.4</v>
      </c>
      <c r="J47" s="201">
        <f t="shared" si="3"/>
        <v>3.772</v>
      </c>
      <c r="K47" s="212" t="s">
        <v>738</v>
      </c>
    </row>
    <row r="48" spans="2:11" s="28" customFormat="1" ht="28.5" customHeight="1">
      <c r="B48" s="35"/>
      <c r="C48" s="41"/>
      <c r="D48" s="41"/>
      <c r="E48" s="42"/>
      <c r="F48" s="43"/>
      <c r="G48" s="44"/>
      <c r="H48" s="43">
        <v>30000</v>
      </c>
      <c r="I48" s="46"/>
      <c r="J48" s="201">
        <f t="shared" si="3"/>
        <v>0</v>
      </c>
      <c r="K48" s="199" t="s">
        <v>823</v>
      </c>
    </row>
    <row r="49" spans="2:11" s="28" customFormat="1" ht="24">
      <c r="B49" s="35"/>
      <c r="C49" s="41"/>
      <c r="D49" s="41"/>
      <c r="E49" s="42"/>
      <c r="F49" s="43">
        <v>16000</v>
      </c>
      <c r="G49" s="44"/>
      <c r="H49" s="43">
        <v>100000</v>
      </c>
      <c r="I49" s="46"/>
      <c r="J49" s="201">
        <f t="shared" si="3"/>
        <v>0</v>
      </c>
      <c r="K49" s="212" t="s">
        <v>824</v>
      </c>
    </row>
    <row r="50" spans="2:11" s="28" customFormat="1" ht="51">
      <c r="B50" s="35"/>
      <c r="C50" s="41"/>
      <c r="D50" s="41">
        <v>6060</v>
      </c>
      <c r="E50" s="42" t="s">
        <v>573</v>
      </c>
      <c r="F50" s="37">
        <f>SUM(F51:F51)</f>
        <v>21000</v>
      </c>
      <c r="G50" s="38">
        <f>SUM(G51:G51)</f>
        <v>0</v>
      </c>
      <c r="H50" s="375">
        <f>SUM(H51:H51)</f>
        <v>7500</v>
      </c>
      <c r="I50" s="375">
        <f>SUM(I51:I51)</f>
        <v>6341.39</v>
      </c>
      <c r="J50" s="375">
        <f t="shared" si="3"/>
        <v>84.55186666666667</v>
      </c>
      <c r="K50" s="212"/>
    </row>
    <row r="51" spans="2:11" s="28" customFormat="1" ht="12.75">
      <c r="B51" s="35"/>
      <c r="C51" s="41"/>
      <c r="D51" s="41"/>
      <c r="E51" s="42"/>
      <c r="F51" s="43">
        <v>21000</v>
      </c>
      <c r="G51" s="44"/>
      <c r="H51" s="43">
        <v>7500</v>
      </c>
      <c r="I51" s="46">
        <v>6341.39</v>
      </c>
      <c r="J51" s="201">
        <f t="shared" si="3"/>
        <v>84.55186666666667</v>
      </c>
      <c r="K51" s="212" t="s">
        <v>825</v>
      </c>
    </row>
    <row r="52" spans="2:11" s="28" customFormat="1" ht="38.25">
      <c r="B52" s="54">
        <v>754</v>
      </c>
      <c r="C52" s="54"/>
      <c r="D52" s="54"/>
      <c r="E52" s="55" t="s">
        <v>363</v>
      </c>
      <c r="F52" s="51" t="e">
        <f>F53+#REF!</f>
        <v>#REF!</v>
      </c>
      <c r="G52" s="52" t="e">
        <f>G53+#REF!</f>
        <v>#REF!</v>
      </c>
      <c r="H52" s="51">
        <f>H53</f>
        <v>26000</v>
      </c>
      <c r="I52" s="51">
        <f>I53</f>
        <v>22906.75</v>
      </c>
      <c r="J52" s="51">
        <f>I52*100/H52</f>
        <v>88.10288461538461</v>
      </c>
      <c r="K52" s="203"/>
    </row>
    <row r="53" spans="2:11" s="28" customFormat="1" ht="25.5">
      <c r="B53" s="35"/>
      <c r="C53" s="35">
        <v>75412</v>
      </c>
      <c r="D53" s="35"/>
      <c r="E53" s="36" t="s">
        <v>622</v>
      </c>
      <c r="F53" s="37">
        <f>SUM(F54:F54)</f>
        <v>8000</v>
      </c>
      <c r="G53" s="38">
        <f>SUM(G54:G54)</f>
        <v>0</v>
      </c>
      <c r="H53" s="37">
        <f>SUM(H54:H54)</f>
        <v>26000</v>
      </c>
      <c r="I53" s="37">
        <f>SUM(I54:I54)</f>
        <v>22906.75</v>
      </c>
      <c r="J53" s="37">
        <f>I53*100/H53</f>
        <v>88.10288461538461</v>
      </c>
      <c r="K53" s="199"/>
    </row>
    <row r="54" spans="2:11" s="28" customFormat="1" ht="140.25">
      <c r="B54" s="35"/>
      <c r="C54" s="35"/>
      <c r="D54" s="41">
        <v>6230</v>
      </c>
      <c r="E54" s="42" t="s">
        <v>623</v>
      </c>
      <c r="F54" s="43">
        <v>8000</v>
      </c>
      <c r="G54" s="44"/>
      <c r="H54" s="43">
        <v>26000</v>
      </c>
      <c r="I54" s="43">
        <v>22906.75</v>
      </c>
      <c r="J54" s="201">
        <f>I54*100/H54</f>
        <v>88.10288461538461</v>
      </c>
      <c r="K54" s="199" t="s">
        <v>739</v>
      </c>
    </row>
    <row r="55" spans="2:11" s="28" customFormat="1" ht="12.75">
      <c r="B55" s="54">
        <v>801</v>
      </c>
      <c r="C55" s="54"/>
      <c r="D55" s="54"/>
      <c r="E55" s="55" t="s">
        <v>546</v>
      </c>
      <c r="F55" s="51">
        <f>F59+F65+F56+F72</f>
        <v>69669</v>
      </c>
      <c r="G55" s="52">
        <f>G59+G65+G56+G72</f>
        <v>4121</v>
      </c>
      <c r="H55" s="51">
        <f>H59+H65+H56+H72</f>
        <v>106500</v>
      </c>
      <c r="I55" s="51">
        <f>I59+I65+I56+I72</f>
        <v>38391.560000000005</v>
      </c>
      <c r="J55" s="51">
        <f>I55*100/H55</f>
        <v>36.04841314553991</v>
      </c>
      <c r="K55" s="203"/>
    </row>
    <row r="56" spans="2:11" s="56" customFormat="1" ht="36.75" customHeight="1">
      <c r="B56" s="67"/>
      <c r="C56" s="35">
        <v>80101</v>
      </c>
      <c r="D56" s="35"/>
      <c r="E56" s="36" t="s">
        <v>547</v>
      </c>
      <c r="F56" s="57">
        <f>F58</f>
        <v>16333</v>
      </c>
      <c r="G56" s="58">
        <f>G58</f>
        <v>0</v>
      </c>
      <c r="H56" s="57">
        <f>SUM(H57:H58)</f>
        <v>27500</v>
      </c>
      <c r="I56" s="57">
        <f>SUM(I57:I58)</f>
        <v>9917</v>
      </c>
      <c r="J56" s="37">
        <f>I56*100/H56</f>
        <v>36.06181818181818</v>
      </c>
      <c r="K56" s="204"/>
    </row>
    <row r="57" spans="2:11" s="56" customFormat="1" ht="32.25" customHeight="1">
      <c r="B57" s="67"/>
      <c r="C57" s="35"/>
      <c r="D57" s="41">
        <v>6050</v>
      </c>
      <c r="E57" s="42" t="s">
        <v>1001</v>
      </c>
      <c r="F57" s="57"/>
      <c r="G57" s="58"/>
      <c r="H57" s="59">
        <v>3000</v>
      </c>
      <c r="I57" s="57"/>
      <c r="J57" s="201">
        <f aca="true" t="shared" si="4" ref="J57:J77">I57*100/H57</f>
        <v>0</v>
      </c>
      <c r="K57" s="204" t="s">
        <v>826</v>
      </c>
    </row>
    <row r="58" spans="2:11" s="28" customFormat="1" ht="39" customHeight="1">
      <c r="B58" s="35"/>
      <c r="C58" s="41"/>
      <c r="D58" s="41">
        <v>6060</v>
      </c>
      <c r="E58" s="42" t="s">
        <v>573</v>
      </c>
      <c r="F58" s="43">
        <v>16333</v>
      </c>
      <c r="G58" s="44"/>
      <c r="H58" s="43">
        <v>24500</v>
      </c>
      <c r="I58" s="46">
        <v>9917</v>
      </c>
      <c r="J58" s="201">
        <f t="shared" si="4"/>
        <v>40.477551020408164</v>
      </c>
      <c r="K58" s="199" t="s">
        <v>740</v>
      </c>
    </row>
    <row r="59" spans="2:11" s="28" customFormat="1" ht="12.75">
      <c r="B59" s="35"/>
      <c r="C59" s="35">
        <v>80104</v>
      </c>
      <c r="D59" s="35"/>
      <c r="E59" s="36" t="s">
        <v>549</v>
      </c>
      <c r="F59" s="37">
        <f>F60+F62</f>
        <v>12184</v>
      </c>
      <c r="G59" s="38">
        <f>G60+G62</f>
        <v>4121</v>
      </c>
      <c r="H59" s="37">
        <f>H60+H62</f>
        <v>35000</v>
      </c>
      <c r="I59" s="37">
        <f>I60+I62</f>
        <v>0</v>
      </c>
      <c r="J59" s="37">
        <f t="shared" si="4"/>
        <v>0</v>
      </c>
      <c r="K59" s="199"/>
    </row>
    <row r="60" spans="2:11" s="28" customFormat="1" ht="38.25">
      <c r="B60" s="35"/>
      <c r="C60" s="41"/>
      <c r="D60" s="41">
        <v>6050</v>
      </c>
      <c r="E60" s="42" t="s">
        <v>1001</v>
      </c>
      <c r="F60" s="201">
        <f>SUM(F61:F61)</f>
        <v>6084</v>
      </c>
      <c r="G60" s="375">
        <f>SUM(G61:G61)</f>
        <v>4126</v>
      </c>
      <c r="H60" s="37">
        <f>SUM(H61:H61)</f>
        <v>35000</v>
      </c>
      <c r="I60" s="37">
        <f>SUM(I61:I61)</f>
        <v>0</v>
      </c>
      <c r="J60" s="37">
        <f t="shared" si="4"/>
        <v>0</v>
      </c>
      <c r="K60" s="199"/>
    </row>
    <row r="61" spans="2:11" s="28" customFormat="1" ht="12.75">
      <c r="B61" s="35"/>
      <c r="C61" s="41"/>
      <c r="D61" s="41"/>
      <c r="E61" s="42"/>
      <c r="F61" s="43">
        <v>6084</v>
      </c>
      <c r="G61" s="44">
        <v>4126</v>
      </c>
      <c r="H61" s="43">
        <v>35000</v>
      </c>
      <c r="I61" s="46"/>
      <c r="J61" s="201">
        <f t="shared" si="4"/>
        <v>0</v>
      </c>
      <c r="K61" s="199" t="s">
        <v>827</v>
      </c>
    </row>
    <row r="62" spans="2:11" s="28" customFormat="1" ht="51" hidden="1">
      <c r="B62" s="35"/>
      <c r="C62" s="41"/>
      <c r="D62" s="41">
        <v>6060</v>
      </c>
      <c r="E62" s="42" t="s">
        <v>573</v>
      </c>
      <c r="F62" s="37">
        <f>SUM(F63:F64)</f>
        <v>6100</v>
      </c>
      <c r="G62" s="63">
        <f>SUM(G63:G64)</f>
        <v>-5</v>
      </c>
      <c r="H62" s="37">
        <f>SUM(H63:H64)</f>
        <v>0</v>
      </c>
      <c r="I62" s="37">
        <f>SUM(I63:I64)</f>
        <v>0</v>
      </c>
      <c r="J62" s="37" t="e">
        <f t="shared" si="4"/>
        <v>#DIV/0!</v>
      </c>
      <c r="K62" s="213"/>
    </row>
    <row r="63" spans="2:11" s="28" customFormat="1" ht="12.75" hidden="1">
      <c r="B63" s="35"/>
      <c r="C63" s="41"/>
      <c r="D63" s="41"/>
      <c r="E63" s="42"/>
      <c r="F63" s="43">
        <v>3000</v>
      </c>
      <c r="G63" s="65"/>
      <c r="H63" s="46"/>
      <c r="I63" s="46"/>
      <c r="J63" s="201" t="e">
        <f t="shared" si="4"/>
        <v>#DIV/0!</v>
      </c>
      <c r="K63" s="213" t="s">
        <v>741</v>
      </c>
    </row>
    <row r="64" spans="2:11" s="28" customFormat="1" ht="12.75" hidden="1">
      <c r="B64" s="35"/>
      <c r="C64" s="41"/>
      <c r="D64" s="41"/>
      <c r="E64" s="42"/>
      <c r="F64" s="43">
        <v>3100</v>
      </c>
      <c r="G64" s="65">
        <v>-5</v>
      </c>
      <c r="H64" s="46"/>
      <c r="I64" s="46"/>
      <c r="J64" s="201" t="e">
        <f t="shared" si="4"/>
        <v>#DIV/0!</v>
      </c>
      <c r="K64" s="213" t="s">
        <v>1116</v>
      </c>
    </row>
    <row r="65" spans="2:11" s="28" customFormat="1" ht="12.75">
      <c r="B65" s="35"/>
      <c r="C65" s="35">
        <v>80110</v>
      </c>
      <c r="D65" s="35"/>
      <c r="E65" s="36" t="s">
        <v>552</v>
      </c>
      <c r="F65" s="37">
        <f>F66+F69</f>
        <v>34847</v>
      </c>
      <c r="G65" s="38">
        <f>G66+G69</f>
        <v>0</v>
      </c>
      <c r="H65" s="37">
        <f>H66+H69</f>
        <v>39000</v>
      </c>
      <c r="I65" s="37">
        <f>I66+I69</f>
        <v>23570.16</v>
      </c>
      <c r="J65" s="37">
        <f t="shared" si="4"/>
        <v>60.43630769230769</v>
      </c>
      <c r="K65" s="199"/>
    </row>
    <row r="66" spans="2:11" s="28" customFormat="1" ht="38.25">
      <c r="B66" s="35"/>
      <c r="C66" s="35"/>
      <c r="D66" s="41">
        <v>6050</v>
      </c>
      <c r="E66" s="42" t="s">
        <v>1001</v>
      </c>
      <c r="F66" s="37">
        <f>SUM(F67:F68)</f>
        <v>28490</v>
      </c>
      <c r="G66" s="38">
        <f>SUM(G67:G68)</f>
        <v>0</v>
      </c>
      <c r="H66" s="375">
        <f>SUM(H67:H68)</f>
        <v>30000</v>
      </c>
      <c r="I66" s="375">
        <f>SUM(I67:I68)</f>
        <v>21066.72</v>
      </c>
      <c r="J66" s="375">
        <f t="shared" si="4"/>
        <v>70.2224</v>
      </c>
      <c r="K66" s="199"/>
    </row>
    <row r="67" spans="2:11" s="28" customFormat="1" ht="15" customHeight="1">
      <c r="B67" s="35"/>
      <c r="C67" s="35"/>
      <c r="D67" s="41"/>
      <c r="E67" s="42"/>
      <c r="F67" s="43">
        <v>12577</v>
      </c>
      <c r="G67" s="65"/>
      <c r="H67" s="43">
        <v>25000</v>
      </c>
      <c r="I67" s="46">
        <v>21066.72</v>
      </c>
      <c r="J67" s="201">
        <f t="shared" si="4"/>
        <v>84.26688</v>
      </c>
      <c r="K67" s="199" t="s">
        <v>1117</v>
      </c>
    </row>
    <row r="68" spans="2:11" s="28" customFormat="1" ht="12.75">
      <c r="B68" s="35"/>
      <c r="C68" s="35"/>
      <c r="D68" s="41"/>
      <c r="E68" s="42"/>
      <c r="F68" s="43">
        <v>15913</v>
      </c>
      <c r="G68" s="65"/>
      <c r="H68" s="43">
        <v>5000</v>
      </c>
      <c r="I68" s="46"/>
      <c r="J68" s="201">
        <f t="shared" si="4"/>
        <v>0</v>
      </c>
      <c r="K68" s="199" t="s">
        <v>828</v>
      </c>
    </row>
    <row r="69" spans="2:11" s="28" customFormat="1" ht="51">
      <c r="B69" s="35"/>
      <c r="C69" s="35"/>
      <c r="D69" s="41">
        <v>6060</v>
      </c>
      <c r="E69" s="42" t="s">
        <v>573</v>
      </c>
      <c r="F69" s="37">
        <f>SUM(F70:F71)</f>
        <v>6357</v>
      </c>
      <c r="G69" s="38">
        <f>SUM(G70:G71)</f>
        <v>0</v>
      </c>
      <c r="H69" s="375">
        <f>SUM(H70:H71)</f>
        <v>9000</v>
      </c>
      <c r="I69" s="375">
        <f>SUM(I70:I71)</f>
        <v>2503.44</v>
      </c>
      <c r="J69" s="375">
        <f t="shared" si="4"/>
        <v>27.816</v>
      </c>
      <c r="K69" s="199"/>
    </row>
    <row r="70" spans="2:11" s="28" customFormat="1" ht="12.75">
      <c r="B70" s="35"/>
      <c r="C70" s="35"/>
      <c r="D70" s="41"/>
      <c r="E70" s="42"/>
      <c r="F70" s="43">
        <v>2129</v>
      </c>
      <c r="G70" s="44"/>
      <c r="H70" s="43">
        <v>6000</v>
      </c>
      <c r="I70" s="46">
        <v>2503.44</v>
      </c>
      <c r="J70" s="201">
        <f t="shared" si="4"/>
        <v>41.724</v>
      </c>
      <c r="K70" s="199" t="s">
        <v>829</v>
      </c>
    </row>
    <row r="71" spans="2:11" s="28" customFormat="1" ht="12.75">
      <c r="B71" s="35"/>
      <c r="C71" s="35"/>
      <c r="D71" s="41"/>
      <c r="E71" s="42"/>
      <c r="F71" s="43">
        <v>4228</v>
      </c>
      <c r="G71" s="44"/>
      <c r="H71" s="43">
        <v>3000</v>
      </c>
      <c r="I71" s="46"/>
      <c r="J71" s="201">
        <f t="shared" si="4"/>
        <v>0</v>
      </c>
      <c r="K71" s="199" t="s">
        <v>830</v>
      </c>
    </row>
    <row r="72" spans="2:11" s="28" customFormat="1" ht="38.25">
      <c r="B72" s="35"/>
      <c r="C72" s="35">
        <v>80114</v>
      </c>
      <c r="D72" s="35"/>
      <c r="E72" s="36" t="s">
        <v>682</v>
      </c>
      <c r="F72" s="37">
        <f>F73</f>
        <v>6305</v>
      </c>
      <c r="G72" s="38">
        <f>G73</f>
        <v>0</v>
      </c>
      <c r="H72" s="37">
        <f>H73</f>
        <v>5000</v>
      </c>
      <c r="I72" s="37">
        <f>I73</f>
        <v>4904.4</v>
      </c>
      <c r="J72" s="37">
        <f t="shared" si="4"/>
        <v>98.088</v>
      </c>
      <c r="K72" s="199"/>
    </row>
    <row r="73" spans="2:11" s="28" customFormat="1" ht="51">
      <c r="B73" s="35"/>
      <c r="C73" s="35"/>
      <c r="D73" s="41">
        <v>6060</v>
      </c>
      <c r="E73" s="42" t="s">
        <v>573</v>
      </c>
      <c r="F73" s="201">
        <f>SUM(F74:F74)</f>
        <v>6305</v>
      </c>
      <c r="G73" s="375">
        <f>SUM(G74:G74)</f>
        <v>0</v>
      </c>
      <c r="H73" s="375">
        <f>SUM(H74:H74)</f>
        <v>5000</v>
      </c>
      <c r="I73" s="375">
        <f>SUM(I74:I74)</f>
        <v>4904.4</v>
      </c>
      <c r="J73" s="375">
        <f t="shared" si="4"/>
        <v>98.088</v>
      </c>
      <c r="K73" s="199"/>
    </row>
    <row r="74" spans="2:11" s="28" customFormat="1" ht="12.75">
      <c r="B74" s="35"/>
      <c r="C74" s="35"/>
      <c r="D74" s="41"/>
      <c r="E74" s="42"/>
      <c r="F74" s="43">
        <v>6305</v>
      </c>
      <c r="G74" s="44"/>
      <c r="H74" s="43">
        <v>5000</v>
      </c>
      <c r="I74" s="46">
        <v>4904.4</v>
      </c>
      <c r="J74" s="201">
        <f t="shared" si="4"/>
        <v>98.088</v>
      </c>
      <c r="K74" s="199" t="s">
        <v>741</v>
      </c>
    </row>
    <row r="75" spans="2:11" s="28" customFormat="1" ht="12.75">
      <c r="B75" s="53">
        <v>851</v>
      </c>
      <c r="C75" s="71"/>
      <c r="D75" s="71"/>
      <c r="E75" s="55" t="s">
        <v>669</v>
      </c>
      <c r="F75" s="51">
        <f aca="true" t="shared" si="5" ref="F75:I76">F76</f>
        <v>5700</v>
      </c>
      <c r="G75" s="52">
        <f t="shared" si="5"/>
        <v>0</v>
      </c>
      <c r="H75" s="51">
        <f t="shared" si="5"/>
        <v>5700</v>
      </c>
      <c r="I75" s="51">
        <f t="shared" si="5"/>
        <v>5700</v>
      </c>
      <c r="J75" s="51">
        <f>I75*100/H75</f>
        <v>100</v>
      </c>
      <c r="K75" s="203"/>
    </row>
    <row r="76" spans="2:11" s="28" customFormat="1" ht="25.5">
      <c r="B76" s="33"/>
      <c r="C76" s="35">
        <v>85154</v>
      </c>
      <c r="D76" s="35"/>
      <c r="E76" s="36" t="s">
        <v>670</v>
      </c>
      <c r="F76" s="37">
        <f t="shared" si="5"/>
        <v>5700</v>
      </c>
      <c r="G76" s="38">
        <f t="shared" si="5"/>
        <v>0</v>
      </c>
      <c r="H76" s="37">
        <f t="shared" si="5"/>
        <v>5700</v>
      </c>
      <c r="I76" s="37">
        <f t="shared" si="5"/>
        <v>5700</v>
      </c>
      <c r="J76" s="37">
        <f t="shared" si="4"/>
        <v>100</v>
      </c>
      <c r="K76" s="199"/>
    </row>
    <row r="77" spans="2:11" s="28" customFormat="1" ht="51">
      <c r="B77" s="35"/>
      <c r="C77" s="35"/>
      <c r="D77" s="41">
        <v>6060</v>
      </c>
      <c r="E77" s="42" t="s">
        <v>573</v>
      </c>
      <c r="F77" s="43">
        <v>5700</v>
      </c>
      <c r="G77" s="65"/>
      <c r="H77" s="46">
        <f>F77+G77</f>
        <v>5700</v>
      </c>
      <c r="I77" s="46">
        <v>5700</v>
      </c>
      <c r="J77" s="201">
        <f t="shared" si="4"/>
        <v>100</v>
      </c>
      <c r="K77" s="199" t="s">
        <v>831</v>
      </c>
    </row>
    <row r="78" spans="2:11" s="28" customFormat="1" ht="12.75" hidden="1">
      <c r="B78" s="53">
        <v>852</v>
      </c>
      <c r="C78" s="71"/>
      <c r="D78" s="71"/>
      <c r="E78" s="55" t="s">
        <v>353</v>
      </c>
      <c r="F78" s="51">
        <f aca="true" t="shared" si="6" ref="F78:I79">F79</f>
        <v>4000</v>
      </c>
      <c r="G78" s="52">
        <f t="shared" si="6"/>
        <v>2930</v>
      </c>
      <c r="H78" s="51">
        <f t="shared" si="6"/>
        <v>0</v>
      </c>
      <c r="I78" s="51">
        <f t="shared" si="6"/>
        <v>0</v>
      </c>
      <c r="J78" s="51" t="e">
        <f aca="true" t="shared" si="7" ref="J78:J92">I78*100/H78</f>
        <v>#DIV/0!</v>
      </c>
      <c r="K78" s="203"/>
    </row>
    <row r="79" spans="2:11" s="28" customFormat="1" ht="25.5" hidden="1">
      <c r="B79" s="35"/>
      <c r="C79" s="35">
        <v>85219</v>
      </c>
      <c r="D79" s="35"/>
      <c r="E79" s="36" t="s">
        <v>564</v>
      </c>
      <c r="F79" s="37">
        <f t="shared" si="6"/>
        <v>4000</v>
      </c>
      <c r="G79" s="38">
        <f t="shared" si="6"/>
        <v>2930</v>
      </c>
      <c r="H79" s="37">
        <f t="shared" si="6"/>
        <v>0</v>
      </c>
      <c r="I79" s="37">
        <f t="shared" si="6"/>
        <v>0</v>
      </c>
      <c r="J79" s="37" t="e">
        <f t="shared" si="7"/>
        <v>#DIV/0!</v>
      </c>
      <c r="K79" s="199"/>
    </row>
    <row r="80" spans="2:11" s="28" customFormat="1" ht="51" hidden="1">
      <c r="B80" s="35"/>
      <c r="C80" s="35"/>
      <c r="D80" s="41">
        <v>6060</v>
      </c>
      <c r="E80" s="42" t="s">
        <v>573</v>
      </c>
      <c r="F80" s="43">
        <v>4000</v>
      </c>
      <c r="G80" s="44">
        <v>2930</v>
      </c>
      <c r="H80" s="46"/>
      <c r="I80" s="46"/>
      <c r="J80" s="201" t="e">
        <f t="shared" si="7"/>
        <v>#DIV/0!</v>
      </c>
      <c r="K80" s="199"/>
    </row>
    <row r="81" spans="2:11" s="28" customFormat="1" ht="38.25">
      <c r="B81" s="54">
        <v>900</v>
      </c>
      <c r="C81" s="54"/>
      <c r="D81" s="54"/>
      <c r="E81" s="55" t="s">
        <v>979</v>
      </c>
      <c r="F81" s="51" t="e">
        <f>F82+F86+#REF!</f>
        <v>#REF!</v>
      </c>
      <c r="G81" s="52" t="e">
        <f>G82+G86+#REF!</f>
        <v>#REF!</v>
      </c>
      <c r="H81" s="51">
        <f>H82+H86</f>
        <v>305000</v>
      </c>
      <c r="I81" s="51">
        <f>I82+I86</f>
        <v>18</v>
      </c>
      <c r="J81" s="51">
        <f t="shared" si="7"/>
        <v>0.005901639344262295</v>
      </c>
      <c r="K81" s="203"/>
    </row>
    <row r="82" spans="2:11" s="28" customFormat="1" ht="25.5">
      <c r="B82" s="35"/>
      <c r="C82" s="35">
        <v>90015</v>
      </c>
      <c r="D82" s="35"/>
      <c r="E82" s="36" t="s">
        <v>752</v>
      </c>
      <c r="F82" s="37">
        <f>SUM(F83:F83)</f>
        <v>148000</v>
      </c>
      <c r="G82" s="38">
        <f>SUM(G83:G83)</f>
        <v>0</v>
      </c>
      <c r="H82" s="37">
        <f>SUM(H83:H83)</f>
        <v>105000</v>
      </c>
      <c r="I82" s="37">
        <f>SUM(I83:I83)</f>
        <v>18</v>
      </c>
      <c r="J82" s="37">
        <f t="shared" si="7"/>
        <v>0.017142857142857144</v>
      </c>
      <c r="K82" s="199"/>
    </row>
    <row r="83" spans="2:11" s="28" customFormat="1" ht="38.25">
      <c r="B83" s="35"/>
      <c r="C83" s="41"/>
      <c r="D83" s="41">
        <v>6050</v>
      </c>
      <c r="E83" s="42" t="s">
        <v>1001</v>
      </c>
      <c r="F83" s="43">
        <v>148000</v>
      </c>
      <c r="G83" s="44"/>
      <c r="H83" s="375">
        <f>SUM(H84:H85)</f>
        <v>105000</v>
      </c>
      <c r="I83" s="375">
        <f>SUM(I84:I85)</f>
        <v>18</v>
      </c>
      <c r="J83" s="375">
        <f t="shared" si="7"/>
        <v>0.017142857142857144</v>
      </c>
      <c r="K83" s="199"/>
    </row>
    <row r="84" spans="2:11" s="28" customFormat="1" ht="24">
      <c r="B84" s="35"/>
      <c r="C84" s="41"/>
      <c r="D84" s="41"/>
      <c r="E84" s="42"/>
      <c r="F84" s="43"/>
      <c r="G84" s="44"/>
      <c r="H84" s="43">
        <v>95000</v>
      </c>
      <c r="I84" s="46">
        <v>18</v>
      </c>
      <c r="J84" s="201">
        <f t="shared" si="7"/>
        <v>0.018947368421052633</v>
      </c>
      <c r="K84" s="199" t="s">
        <v>832</v>
      </c>
    </row>
    <row r="85" spans="2:11" s="28" customFormat="1" ht="12.75">
      <c r="B85" s="35"/>
      <c r="C85" s="41"/>
      <c r="D85" s="41"/>
      <c r="E85" s="42"/>
      <c r="F85" s="43"/>
      <c r="G85" s="44"/>
      <c r="H85" s="43">
        <v>10000</v>
      </c>
      <c r="I85" s="46"/>
      <c r="J85" s="201">
        <f t="shared" si="7"/>
        <v>0</v>
      </c>
      <c r="K85" s="199" t="s">
        <v>833</v>
      </c>
    </row>
    <row r="86" spans="2:11" s="28" customFormat="1" ht="12.75">
      <c r="B86" s="35"/>
      <c r="C86" s="35">
        <v>90095</v>
      </c>
      <c r="D86" s="35"/>
      <c r="E86" s="36" t="s">
        <v>162</v>
      </c>
      <c r="F86" s="37">
        <f>SUM(F87:F87)</f>
        <v>2000</v>
      </c>
      <c r="G86" s="38">
        <f>SUM(G87:G87)</f>
        <v>0</v>
      </c>
      <c r="H86" s="37">
        <f>SUM(H87:H87)</f>
        <v>200000</v>
      </c>
      <c r="I86" s="37">
        <f>SUM(I87:I87)</f>
        <v>0</v>
      </c>
      <c r="J86" s="37">
        <f t="shared" si="7"/>
        <v>0</v>
      </c>
      <c r="K86" s="199"/>
    </row>
    <row r="87" spans="2:11" s="28" customFormat="1" ht="57" customHeight="1">
      <c r="B87" s="35"/>
      <c r="C87" s="41"/>
      <c r="D87" s="41">
        <v>6050</v>
      </c>
      <c r="E87" s="42" t="s">
        <v>1001</v>
      </c>
      <c r="F87" s="43">
        <v>2000</v>
      </c>
      <c r="G87" s="44"/>
      <c r="H87" s="43">
        <v>200000</v>
      </c>
      <c r="I87" s="46"/>
      <c r="J87" s="201">
        <f t="shared" si="7"/>
        <v>0</v>
      </c>
      <c r="K87" s="199" t="s">
        <v>834</v>
      </c>
    </row>
    <row r="88" spans="2:11" s="28" customFormat="1" ht="25.5">
      <c r="B88" s="53">
        <v>926</v>
      </c>
      <c r="C88" s="54"/>
      <c r="D88" s="54"/>
      <c r="E88" s="55" t="s">
        <v>756</v>
      </c>
      <c r="F88" s="43"/>
      <c r="G88" s="44"/>
      <c r="H88" s="51">
        <f>H89</f>
        <v>62450</v>
      </c>
      <c r="I88" s="51">
        <f>I89</f>
        <v>12450</v>
      </c>
      <c r="J88" s="51">
        <f t="shared" si="7"/>
        <v>19.935948759007207</v>
      </c>
      <c r="K88" s="203"/>
    </row>
    <row r="89" spans="2:11" s="28" customFormat="1" ht="12.75">
      <c r="B89" s="35"/>
      <c r="C89" s="35">
        <v>92695</v>
      </c>
      <c r="D89" s="35"/>
      <c r="E89" s="36" t="s">
        <v>162</v>
      </c>
      <c r="F89" s="43"/>
      <c r="G89" s="44"/>
      <c r="H89" s="37">
        <f>SUM(H90:H91)</f>
        <v>62450</v>
      </c>
      <c r="I89" s="37">
        <f>SUM(I90:I91)</f>
        <v>12450</v>
      </c>
      <c r="J89" s="37">
        <f t="shared" si="7"/>
        <v>19.935948759007207</v>
      </c>
      <c r="K89" s="199"/>
    </row>
    <row r="90" spans="2:11" s="28" customFormat="1" ht="38.25">
      <c r="B90" s="35"/>
      <c r="C90" s="41"/>
      <c r="D90" s="41">
        <v>6050</v>
      </c>
      <c r="E90" s="42" t="s">
        <v>1001</v>
      </c>
      <c r="F90" s="43"/>
      <c r="G90" s="44"/>
      <c r="H90" s="43">
        <v>50000</v>
      </c>
      <c r="I90" s="46"/>
      <c r="J90" s="201">
        <f t="shared" si="7"/>
        <v>0</v>
      </c>
      <c r="K90" s="199" t="s">
        <v>835</v>
      </c>
    </row>
    <row r="91" spans="2:11" s="28" customFormat="1" ht="51">
      <c r="B91" s="35"/>
      <c r="C91" s="41"/>
      <c r="D91" s="41">
        <v>6060</v>
      </c>
      <c r="E91" s="42" t="s">
        <v>573</v>
      </c>
      <c r="F91" s="43"/>
      <c r="G91" s="44"/>
      <c r="H91" s="43">
        <v>12450</v>
      </c>
      <c r="I91" s="46">
        <v>12450</v>
      </c>
      <c r="J91" s="201">
        <f t="shared" si="7"/>
        <v>100</v>
      </c>
      <c r="K91" s="512" t="s">
        <v>836</v>
      </c>
    </row>
    <row r="92" spans="2:11" s="28" customFormat="1" ht="12.75">
      <c r="B92" s="136"/>
      <c r="C92" s="137"/>
      <c r="D92" s="137"/>
      <c r="E92" s="138" t="s">
        <v>989</v>
      </c>
      <c r="F92" s="140" t="e">
        <f>F6+F16+F25+F39+F52+F55+F81+F75+F78</f>
        <v>#REF!</v>
      </c>
      <c r="G92" s="386" t="e">
        <f>G6+G16+G25+G39+G52+G55+G81+G75+G78</f>
        <v>#REF!</v>
      </c>
      <c r="H92" s="140">
        <f>H6+H16+H25+H39+H52+H55+H81+H75+H78+H88</f>
        <v>4092558</v>
      </c>
      <c r="I92" s="140">
        <f>I6+I16+I25+I39+I52+I55+I81+I75+I78+I88</f>
        <v>619938.06</v>
      </c>
      <c r="J92" s="140">
        <f t="shared" si="7"/>
        <v>15.147935838661299</v>
      </c>
      <c r="K92" s="214"/>
    </row>
    <row r="93" spans="6:11" s="28" customFormat="1" ht="12.75">
      <c r="F93" s="47"/>
      <c r="G93" s="76"/>
      <c r="H93" s="47"/>
      <c r="I93" s="47"/>
      <c r="J93" s="47"/>
      <c r="K93" s="215"/>
    </row>
    <row r="94" spans="5:11" s="28" customFormat="1" ht="15.75">
      <c r="E94" s="78"/>
      <c r="F94" s="79"/>
      <c r="G94" s="355"/>
      <c r="H94" s="79"/>
      <c r="I94" s="79"/>
      <c r="J94" s="79"/>
      <c r="K94" s="215"/>
    </row>
    <row r="95" spans="4:11" s="28" customFormat="1" ht="12.75">
      <c r="D95" s="77"/>
      <c r="E95" s="47"/>
      <c r="G95" s="80"/>
      <c r="H95" s="47"/>
      <c r="I95" s="47"/>
      <c r="K95" s="216"/>
    </row>
    <row r="96" spans="7:11" s="28" customFormat="1" ht="12.75">
      <c r="G96" s="80"/>
      <c r="K96" s="216"/>
    </row>
    <row r="97" spans="5:11" s="28" customFormat="1" ht="12.75">
      <c r="E97" s="47"/>
      <c r="F97" s="47"/>
      <c r="G97" s="76"/>
      <c r="H97" s="47"/>
      <c r="I97" s="47"/>
      <c r="J97" s="47"/>
      <c r="K97" s="216"/>
    </row>
    <row r="98" spans="6:11" s="28" customFormat="1" ht="12.75">
      <c r="F98" s="47"/>
      <c r="G98" s="76"/>
      <c r="H98" s="47"/>
      <c r="I98" s="47"/>
      <c r="J98" s="47"/>
      <c r="K98" s="216"/>
    </row>
    <row r="99" spans="6:11" s="28" customFormat="1" ht="12.75">
      <c r="F99" s="47"/>
      <c r="G99" s="76"/>
      <c r="H99" s="47"/>
      <c r="I99" s="47"/>
      <c r="J99" s="47"/>
      <c r="K99" s="216"/>
    </row>
    <row r="100" spans="6:11" s="28" customFormat="1" ht="12.75">
      <c r="F100" s="47"/>
      <c r="G100" s="76"/>
      <c r="H100" s="47"/>
      <c r="I100" s="47"/>
      <c r="J100" s="47"/>
      <c r="K100" s="216"/>
    </row>
    <row r="101" spans="6:11" s="28" customFormat="1" ht="12.75">
      <c r="F101" s="47"/>
      <c r="G101" s="76"/>
      <c r="H101" s="47"/>
      <c r="I101" s="47"/>
      <c r="J101" s="47"/>
      <c r="K101" s="216"/>
    </row>
    <row r="102" spans="6:11" s="28" customFormat="1" ht="12.75">
      <c r="F102" s="47"/>
      <c r="G102" s="76"/>
      <c r="H102" s="47"/>
      <c r="I102" s="47"/>
      <c r="J102" s="47"/>
      <c r="K102" s="216"/>
    </row>
    <row r="103" spans="6:11" s="28" customFormat="1" ht="12.75">
      <c r="F103" s="47"/>
      <c r="G103" s="76"/>
      <c r="H103" s="47"/>
      <c r="I103" s="47"/>
      <c r="J103" s="47"/>
      <c r="K103" s="216"/>
    </row>
    <row r="104" spans="6:11" s="28" customFormat="1" ht="12.75">
      <c r="F104" s="47"/>
      <c r="G104" s="76"/>
      <c r="H104" s="47"/>
      <c r="I104" s="47"/>
      <c r="J104" s="47"/>
      <c r="K104" s="216"/>
    </row>
    <row r="105" spans="7:11" s="28" customFormat="1" ht="12.75">
      <c r="G105" s="80"/>
      <c r="K105" s="216"/>
    </row>
    <row r="106" spans="7:11" s="28" customFormat="1" ht="12.75">
      <c r="G106" s="80"/>
      <c r="K106" s="216"/>
    </row>
  </sheetData>
  <mergeCells count="12">
    <mergeCell ref="F3:F4"/>
    <mergeCell ref="G3:G4"/>
    <mergeCell ref="H3:H4"/>
    <mergeCell ref="K3:K4"/>
    <mergeCell ref="B3:B4"/>
    <mergeCell ref="C3:C4"/>
    <mergeCell ref="D3:D4"/>
    <mergeCell ref="E3:E4"/>
    <mergeCell ref="K19:K20"/>
    <mergeCell ref="I3:I4"/>
    <mergeCell ref="J3:J4"/>
    <mergeCell ref="K1:K2"/>
  </mergeCells>
  <printOptions horizontalCentered="1"/>
  <pageMargins left="0.15748031496062992" right="0.15748031496062992" top="0.15748031496062992" bottom="0.15748031496062992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Kaźmierz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Małgorzta Jaworska</dc:creator>
  <cp:keywords/>
  <dc:description/>
  <cp:lastModifiedBy>Małgorzta Jaworska</cp:lastModifiedBy>
  <cp:lastPrinted>2008-08-28T10:58:09Z</cp:lastPrinted>
  <dcterms:created xsi:type="dcterms:W3CDTF">2007-07-27T08:44:23Z</dcterms:created>
  <dcterms:modified xsi:type="dcterms:W3CDTF">2008-09-25T07:25:25Z</dcterms:modified>
  <cp:category/>
  <cp:version/>
  <cp:contentType/>
  <cp:contentStatus/>
</cp:coreProperties>
</file>